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건인원 사무국\연례보고서 통계자료\"/>
    </mc:Choice>
  </mc:AlternateContent>
  <xr:revisionPtr revIDLastSave="0" documentId="13_ncr:1_{A3423FAA-B5AA-4765-99C9-84CFE1F6CD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인적자원, 정보자원, 스튜디오 현황 (2024.02)" sheetId="4" r:id="rId1"/>
  </sheets>
  <definedNames>
    <definedName name="_xlnm._FilterDatabase" localSheetId="0" hidden="1">'인적자원, 정보자원, 스튜디오 현황 (2024.02)'!$A$1:$AC$72</definedName>
    <definedName name="_xlnm.Print_Area" localSheetId="0">'인적자원, 정보자원, 스튜디오 현황 (2024.02)'!$A$1:$AC$78</definedName>
  </definedNames>
  <calcPr calcId="181029"/>
</workbook>
</file>

<file path=xl/calcChain.xml><?xml version="1.0" encoding="utf-8"?>
<calcChain xmlns="http://schemas.openxmlformats.org/spreadsheetml/2006/main">
  <c r="Y78" i="4" l="1"/>
  <c r="U78" i="4"/>
  <c r="J78" i="4"/>
  <c r="G78" i="4"/>
  <c r="W78" i="4" s="1"/>
  <c r="U77" i="4"/>
  <c r="J77" i="4"/>
  <c r="G77" i="4"/>
  <c r="W77" i="4" s="1"/>
  <c r="U76" i="4"/>
  <c r="J76" i="4"/>
  <c r="G76" i="4"/>
  <c r="V76" i="4" s="1"/>
  <c r="U75" i="4"/>
  <c r="J75" i="4"/>
  <c r="G75" i="4"/>
  <c r="W75" i="4" s="1"/>
  <c r="U74" i="4"/>
  <c r="J74" i="4"/>
  <c r="G74" i="4"/>
  <c r="W74" i="4" s="1"/>
  <c r="F74" i="4"/>
  <c r="U73" i="4"/>
  <c r="J73" i="4"/>
  <c r="G73" i="4"/>
  <c r="V73" i="4" s="1"/>
  <c r="F73" i="4"/>
  <c r="U72" i="4"/>
  <c r="J72" i="4"/>
  <c r="G72" i="4"/>
  <c r="W72" i="4" s="1"/>
  <c r="F72" i="4"/>
  <c r="U71" i="4"/>
  <c r="J71" i="4"/>
  <c r="G71" i="4"/>
  <c r="V71" i="4" s="1"/>
  <c r="F71" i="4"/>
  <c r="W70" i="4"/>
  <c r="U70" i="4"/>
  <c r="G70" i="4"/>
  <c r="V70" i="4" s="1"/>
  <c r="F70" i="4"/>
  <c r="W69" i="4"/>
  <c r="V69" i="4"/>
  <c r="U69" i="4"/>
  <c r="G69" i="4"/>
  <c r="F69" i="4"/>
  <c r="U68" i="4"/>
  <c r="J68" i="4"/>
  <c r="G68" i="4"/>
  <c r="V68" i="4" s="1"/>
  <c r="F68" i="4"/>
  <c r="V67" i="4"/>
  <c r="U67" i="4"/>
  <c r="J67" i="4"/>
  <c r="G67" i="4"/>
  <c r="W67" i="4" s="1"/>
  <c r="F67" i="4"/>
  <c r="Y66" i="4"/>
  <c r="U66" i="4"/>
  <c r="J66" i="4"/>
  <c r="G66" i="4"/>
  <c r="W66" i="4" s="1"/>
  <c r="F66" i="4"/>
  <c r="U65" i="4"/>
  <c r="J65" i="4"/>
  <c r="G65" i="4"/>
  <c r="V65" i="4" s="1"/>
  <c r="F65" i="4"/>
  <c r="U64" i="4"/>
  <c r="J64" i="4"/>
  <c r="G64" i="4"/>
  <c r="W64" i="4" s="1"/>
  <c r="F64" i="4"/>
  <c r="U63" i="4"/>
  <c r="J63" i="4"/>
  <c r="G63" i="4"/>
  <c r="W63" i="4" s="1"/>
  <c r="F63" i="4"/>
  <c r="U62" i="4"/>
  <c r="J62" i="4"/>
  <c r="G62" i="4"/>
  <c r="W62" i="4" s="1"/>
  <c r="U61" i="4"/>
  <c r="J61" i="4"/>
  <c r="G61" i="4"/>
  <c r="W61" i="4" s="1"/>
  <c r="Y60" i="4"/>
  <c r="U60" i="4"/>
  <c r="J60" i="4"/>
  <c r="G60" i="4"/>
  <c r="V60" i="4" s="1"/>
  <c r="U59" i="4"/>
  <c r="J59" i="4"/>
  <c r="G59" i="4"/>
  <c r="V59" i="4" s="1"/>
  <c r="F59" i="4"/>
  <c r="U58" i="4"/>
  <c r="G58" i="4"/>
  <c r="W58" i="4" s="1"/>
  <c r="F58" i="4"/>
  <c r="Y57" i="4"/>
  <c r="U57" i="4"/>
  <c r="J57" i="4"/>
  <c r="G57" i="4"/>
  <c r="V57" i="4" s="1"/>
  <c r="F57" i="4"/>
  <c r="U56" i="4"/>
  <c r="J56" i="4"/>
  <c r="G56" i="4"/>
  <c r="W56" i="4" s="1"/>
  <c r="F56" i="4"/>
  <c r="U55" i="4"/>
  <c r="G55" i="4"/>
  <c r="V55" i="4" s="1"/>
  <c r="U54" i="4"/>
  <c r="J54" i="4"/>
  <c r="G54" i="4"/>
  <c r="V54" i="4" s="1"/>
  <c r="F54" i="4"/>
  <c r="Y53" i="4"/>
  <c r="V53" i="4"/>
  <c r="U53" i="4"/>
  <c r="J53" i="4"/>
  <c r="G53" i="4"/>
  <c r="W53" i="4" s="1"/>
  <c r="F53" i="4"/>
  <c r="U52" i="4"/>
  <c r="J52" i="4"/>
  <c r="G52" i="4"/>
  <c r="W52" i="4" s="1"/>
  <c r="U51" i="4"/>
  <c r="J51" i="4"/>
  <c r="G51" i="4"/>
  <c r="W51" i="4" s="1"/>
  <c r="F51" i="4"/>
  <c r="U50" i="4"/>
  <c r="J50" i="4"/>
  <c r="G50" i="4"/>
  <c r="V50" i="4" s="1"/>
  <c r="F50" i="4"/>
  <c r="Y49" i="4"/>
  <c r="U49" i="4"/>
  <c r="J49" i="4"/>
  <c r="G49" i="4"/>
  <c r="W49" i="4" s="1"/>
  <c r="F49" i="4"/>
  <c r="Y48" i="4"/>
  <c r="U48" i="4"/>
  <c r="J48" i="4"/>
  <c r="G48" i="4"/>
  <c r="W48" i="4" s="1"/>
  <c r="F48" i="4"/>
  <c r="U47" i="4"/>
  <c r="G47" i="4"/>
  <c r="V47" i="4" s="1"/>
  <c r="F47" i="4"/>
  <c r="V46" i="4"/>
  <c r="U46" i="4"/>
  <c r="J46" i="4"/>
  <c r="G46" i="4"/>
  <c r="W46" i="4" s="1"/>
  <c r="V45" i="4"/>
  <c r="U45" i="4"/>
  <c r="J45" i="4"/>
  <c r="G45" i="4"/>
  <c r="W45" i="4" s="1"/>
  <c r="F45" i="4"/>
  <c r="Y44" i="4"/>
  <c r="U44" i="4"/>
  <c r="J44" i="4"/>
  <c r="G44" i="4"/>
  <c r="W44" i="4" s="1"/>
  <c r="U43" i="4"/>
  <c r="J43" i="4"/>
  <c r="G43" i="4"/>
  <c r="W43" i="4" s="1"/>
  <c r="F43" i="4"/>
  <c r="X42" i="4"/>
  <c r="V42" i="4"/>
  <c r="U42" i="4"/>
  <c r="J42" i="4"/>
  <c r="G42" i="4"/>
  <c r="W42" i="4" s="1"/>
  <c r="F42" i="4"/>
  <c r="V41" i="4"/>
  <c r="U41" i="4"/>
  <c r="J41" i="4"/>
  <c r="G41" i="4"/>
  <c r="W41" i="4" s="1"/>
  <c r="F41" i="4"/>
  <c r="Y40" i="4"/>
  <c r="U40" i="4"/>
  <c r="J40" i="4"/>
  <c r="G40" i="4"/>
  <c r="W40" i="4" s="1"/>
  <c r="U39" i="4"/>
  <c r="J39" i="4"/>
  <c r="G39" i="4"/>
  <c r="W39" i="4" s="1"/>
  <c r="U38" i="4"/>
  <c r="J38" i="4"/>
  <c r="G38" i="4"/>
  <c r="V38" i="4" s="1"/>
  <c r="F38" i="4"/>
  <c r="U37" i="4"/>
  <c r="J37" i="4"/>
  <c r="G37" i="4"/>
  <c r="W37" i="4" s="1"/>
  <c r="F37" i="4"/>
  <c r="U36" i="4"/>
  <c r="J36" i="4"/>
  <c r="G36" i="4"/>
  <c r="V36" i="4" s="1"/>
  <c r="F36" i="4"/>
  <c r="V35" i="4"/>
  <c r="U35" i="4"/>
  <c r="J35" i="4"/>
  <c r="G35" i="4"/>
  <c r="W35" i="4" s="1"/>
  <c r="F35" i="4"/>
  <c r="U34" i="4"/>
  <c r="J34" i="4"/>
  <c r="G34" i="4"/>
  <c r="V34" i="4" s="1"/>
  <c r="F34" i="4"/>
  <c r="U33" i="4"/>
  <c r="J33" i="4"/>
  <c r="G33" i="4"/>
  <c r="V33" i="4" s="1"/>
  <c r="F33" i="4"/>
  <c r="W33" i="4" s="1"/>
  <c r="U32" i="4"/>
  <c r="J32" i="4"/>
  <c r="G32" i="4"/>
  <c r="V32" i="4" s="1"/>
  <c r="U31" i="4"/>
  <c r="J31" i="4"/>
  <c r="H31" i="4"/>
  <c r="G31" i="4"/>
  <c r="W31" i="4" s="1"/>
  <c r="F31" i="4"/>
  <c r="U30" i="4"/>
  <c r="J30" i="4"/>
  <c r="G30" i="4"/>
  <c r="V30" i="4" s="1"/>
  <c r="F30" i="4"/>
  <c r="U29" i="4"/>
  <c r="J29" i="4"/>
  <c r="G29" i="4"/>
  <c r="W29" i="4" s="1"/>
  <c r="F29" i="4"/>
  <c r="U28" i="4"/>
  <c r="J28" i="4"/>
  <c r="G28" i="4"/>
  <c r="V28" i="4" s="1"/>
  <c r="U27" i="4"/>
  <c r="J27" i="4"/>
  <c r="G27" i="4"/>
  <c r="W27" i="4" s="1"/>
  <c r="F27" i="4"/>
  <c r="Y26" i="4"/>
  <c r="U26" i="4"/>
  <c r="J26" i="4"/>
  <c r="G26" i="4"/>
  <c r="V26" i="4" s="1"/>
  <c r="F26" i="4"/>
  <c r="U25" i="4"/>
  <c r="J25" i="4"/>
  <c r="G25" i="4"/>
  <c r="W25" i="4" s="1"/>
  <c r="F25" i="4"/>
  <c r="Y24" i="4"/>
  <c r="U24" i="4"/>
  <c r="J24" i="4"/>
  <c r="G24" i="4"/>
  <c r="W24" i="4" s="1"/>
  <c r="F24" i="4"/>
  <c r="U23" i="4"/>
  <c r="J23" i="4"/>
  <c r="G23" i="4"/>
  <c r="W23" i="4" s="1"/>
  <c r="F23" i="4"/>
  <c r="Y22" i="4"/>
  <c r="U22" i="4"/>
  <c r="J22" i="4"/>
  <c r="G22" i="4"/>
  <c r="W22" i="4" s="1"/>
  <c r="F22" i="4"/>
  <c r="U21" i="4"/>
  <c r="J21" i="4"/>
  <c r="G21" i="4"/>
  <c r="V21" i="4" s="1"/>
  <c r="F21" i="4"/>
  <c r="V20" i="4"/>
  <c r="U20" i="4"/>
  <c r="J20" i="4"/>
  <c r="G20" i="4"/>
  <c r="W20" i="4" s="1"/>
  <c r="F20" i="4"/>
  <c r="U19" i="4"/>
  <c r="Q19" i="4"/>
  <c r="J19" i="4"/>
  <c r="G19" i="4"/>
  <c r="V19" i="4" s="1"/>
  <c r="F19" i="4"/>
  <c r="U18" i="4"/>
  <c r="J18" i="4"/>
  <c r="G18" i="4"/>
  <c r="W18" i="4" s="1"/>
  <c r="F18" i="4"/>
  <c r="U17" i="4"/>
  <c r="J17" i="4"/>
  <c r="G17" i="4"/>
  <c r="W17" i="4" s="1"/>
  <c r="F17" i="4"/>
  <c r="Y16" i="4"/>
  <c r="V16" i="4"/>
  <c r="U16" i="4"/>
  <c r="J16" i="4"/>
  <c r="U15" i="4"/>
  <c r="J15" i="4"/>
  <c r="G15" i="4"/>
  <c r="W15" i="4" s="1"/>
  <c r="F15" i="4"/>
  <c r="U14" i="4"/>
  <c r="J14" i="4"/>
  <c r="G14" i="4"/>
  <c r="W14" i="4" s="1"/>
  <c r="F14" i="4"/>
  <c r="V13" i="4"/>
  <c r="U13" i="4"/>
  <c r="J13" i="4"/>
  <c r="G13" i="4"/>
  <c r="W13" i="4" s="1"/>
  <c r="F13" i="4"/>
  <c r="U12" i="4"/>
  <c r="J12" i="4"/>
  <c r="G12" i="4"/>
  <c r="W12" i="4" s="1"/>
  <c r="F12" i="4"/>
  <c r="U11" i="4"/>
  <c r="J11" i="4"/>
  <c r="G11" i="4"/>
  <c r="W11" i="4" s="1"/>
  <c r="Y10" i="4"/>
  <c r="U10" i="4"/>
  <c r="J10" i="4"/>
  <c r="G10" i="4"/>
  <c r="W10" i="4" s="1"/>
  <c r="F10" i="4"/>
  <c r="W9" i="4"/>
  <c r="U9" i="4"/>
  <c r="J9" i="4"/>
  <c r="G9" i="4"/>
  <c r="V9" i="4" s="1"/>
  <c r="Y8" i="4"/>
  <c r="S8" i="4"/>
  <c r="R8" i="4"/>
  <c r="Q8" i="4"/>
  <c r="K8" i="4"/>
  <c r="I8" i="4"/>
  <c r="H8" i="4"/>
  <c r="G8" i="4"/>
  <c r="W8" i="4" s="1"/>
  <c r="U7" i="4"/>
  <c r="J7" i="4"/>
  <c r="G7" i="4"/>
  <c r="V7" i="4" s="1"/>
  <c r="V11" i="4" l="1"/>
  <c r="V77" i="4"/>
  <c r="W55" i="4"/>
  <c r="V61" i="4"/>
  <c r="V63" i="4"/>
  <c r="V74" i="4"/>
  <c r="J8" i="4"/>
  <c r="V29" i="4"/>
  <c r="V43" i="4"/>
  <c r="V44" i="4"/>
  <c r="U8" i="4"/>
  <c r="W19" i="4"/>
  <c r="V23" i="4"/>
  <c r="V49" i="4"/>
  <c r="V56" i="4"/>
  <c r="V15" i="4"/>
  <c r="W47" i="4"/>
  <c r="V58" i="4"/>
  <c r="W65" i="4"/>
  <c r="V78" i="4"/>
  <c r="V18" i="4"/>
  <c r="V22" i="4"/>
  <c r="V25" i="4"/>
  <c r="V37" i="4"/>
  <c r="V39" i="4"/>
  <c r="V40" i="4"/>
  <c r="V48" i="4"/>
  <c r="V51" i="4"/>
  <c r="V52" i="4"/>
  <c r="V72" i="4"/>
  <c r="W73" i="4"/>
  <c r="W76" i="4"/>
  <c r="V8" i="4"/>
  <c r="V10" i="4"/>
  <c r="V12" i="4"/>
  <c r="V14" i="4"/>
  <c r="V17" i="4"/>
  <c r="V24" i="4"/>
  <c r="V27" i="4"/>
  <c r="V31" i="4"/>
  <c r="V62" i="4"/>
  <c r="V64" i="4"/>
  <c r="V66" i="4"/>
  <c r="V75" i="4"/>
  <c r="W7" i="4"/>
  <c r="W21" i="4"/>
  <c r="W26" i="4"/>
  <c r="W28" i="4"/>
  <c r="W30" i="4"/>
  <c r="W32" i="4"/>
  <c r="W34" i="4"/>
  <c r="W36" i="4"/>
  <c r="W38" i="4"/>
  <c r="W50" i="4"/>
  <c r="W54" i="4"/>
  <c r="W57" i="4"/>
  <c r="W59" i="4"/>
  <c r="W68" i="4"/>
  <c r="W71" i="4"/>
  <c r="W5" i="4" l="1"/>
  <c r="G6" i="4"/>
  <c r="W6" i="4" s="1"/>
  <c r="F6" i="4"/>
  <c r="G4" i="4"/>
  <c r="W4" i="4" s="1"/>
  <c r="F4" i="4"/>
  <c r="Y3" i="4"/>
  <c r="G3" i="4"/>
  <c r="W3" i="4" s="1"/>
  <c r="J4" i="4"/>
  <c r="J3" i="4"/>
  <c r="Y5" i="4" l="1"/>
  <c r="V5" i="4" l="1"/>
  <c r="U5" i="4"/>
  <c r="J5" i="4"/>
  <c r="V3" i="4"/>
  <c r="U3" i="4"/>
  <c r="V6" i="4"/>
  <c r="U6" i="4"/>
  <c r="V4" i="4"/>
  <c r="U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kaab3</author>
    <author>jiwan</author>
  </authors>
  <commentList>
    <comment ref="F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학부일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학부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정원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전공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</text>
    </comment>
    <comment ref="G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학기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인원수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휴학생제외</t>
        </r>
        <r>
          <rPr>
            <sz val="9"/>
            <color indexed="81"/>
            <rFont val="Tahoma"/>
            <family val="2"/>
          </rPr>
          <t>)</t>
        </r>
      </text>
    </comment>
    <comment ref="H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직전연도</t>
        </r>
        <r>
          <rPr>
            <sz val="9"/>
            <color indexed="81"/>
            <rFont val="Tahoma"/>
            <family val="2"/>
          </rPr>
          <t xml:space="preserve"> 8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졸업생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해당연도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졸업생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</text>
    </comment>
    <comment ref="W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총면적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수강생수
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Y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주당수업시간</t>
        </r>
        <r>
          <rPr>
            <sz val="9"/>
            <color indexed="81"/>
            <rFont val="Tahoma"/>
            <family val="2"/>
          </rPr>
          <t>/(</t>
        </r>
        <r>
          <rPr>
            <sz val="9"/>
            <color indexed="81"/>
            <rFont val="돋움"/>
            <family val="3"/>
            <charset val="129"/>
          </rPr>
          <t>수강생수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교수수</t>
        </r>
        <r>
          <rPr>
            <sz val="9"/>
            <color indexed="81"/>
            <rFont val="Tahoma"/>
            <family val="2"/>
          </rPr>
          <t>)</t>
        </r>
      </text>
    </comment>
    <comment ref="Z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직전연도</t>
        </r>
        <r>
          <rPr>
            <sz val="9"/>
            <color indexed="81"/>
            <rFont val="Tahoma"/>
            <family val="2"/>
          </rPr>
          <t xml:space="preserve"> 8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편입생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해당연도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편입생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</text>
    </comment>
    <comment ref="G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기준임</t>
        </r>
      </text>
    </comment>
    <comment ref="J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졸업생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남녀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없고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총계만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있음</t>
        </r>
        <r>
          <rPr>
            <sz val="9"/>
            <color indexed="81"/>
            <rFont val="Tahoma"/>
            <family val="2"/>
          </rPr>
          <t>.</t>
        </r>
      </text>
    </comment>
    <comment ref="F8" authorId="0" shapeId="0" xr:uid="{76E7DB71-ECD4-461B-920C-4D752EC73EEE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데이터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</text>
    </comment>
    <comment ref="F9" authorId="0" shapeId="0" xr:uid="{A9F17D80-9E6B-4A9B-BDD2-12A533E7FCCB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입학정원임</t>
        </r>
      </text>
    </comment>
    <comment ref="F11" authorId="0" shapeId="0" xr:uid="{0C62402F-B377-411B-AE53-1ABCA14627ED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입학정원임</t>
        </r>
      </text>
    </comment>
    <comment ref="F16" authorId="0" shapeId="0" xr:uid="{5898BA20-37B4-4629-A461-25CAC9BD2818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입학정원임
</t>
        </r>
      </text>
    </comment>
    <comment ref="G16" authorId="0" shapeId="0" xr:uid="{C5B6435C-AED6-425C-9CCD-2DE2A4EB20C3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데이터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</text>
    </comment>
    <comment ref="G26" authorId="0" shapeId="0" xr:uid="{B630F45E-03DB-4226-97C1-4991FE6E2042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재학생</t>
        </r>
      </text>
    </comment>
    <comment ref="F28" authorId="0" shapeId="0" xr:uid="{C89AE635-AE59-4D50-9C99-89B0692B534A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입학정원임</t>
        </r>
      </text>
    </comment>
    <comment ref="F32" authorId="1" shapeId="0" xr:uid="{5ED425C9-A791-492B-97D7-116580F31030}">
      <text>
        <r>
          <rPr>
            <b/>
            <sz val="9"/>
            <color indexed="81"/>
            <rFont val="Tahoma"/>
            <family val="2"/>
          </rPr>
          <t>KAAB: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입학정원</t>
        </r>
      </text>
    </comment>
    <comment ref="F33" authorId="1" shapeId="0" xr:uid="{CAE4CB42-2CB4-47EC-9838-2F21B7AC0344}">
      <text>
        <r>
          <rPr>
            <b/>
            <sz val="9"/>
            <color indexed="81"/>
            <rFont val="Tahoma"/>
            <family val="2"/>
          </rPr>
          <t>KAAB: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입학정원임</t>
        </r>
      </text>
    </comment>
    <comment ref="F34" authorId="0" shapeId="0" xr:uid="{7F7FB18D-01BC-4AE6-9590-D622C6A1AA68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2018</t>
        </r>
        <r>
          <rPr>
            <sz val="9"/>
            <color indexed="81"/>
            <rFont val="돋움"/>
            <family val="3"/>
            <charset val="129"/>
          </rPr>
          <t>학년도부터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전공배정은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학기에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배정함</t>
        </r>
        <r>
          <rPr>
            <sz val="9"/>
            <color indexed="81"/>
            <rFont val="Tahoma"/>
            <family val="2"/>
          </rPr>
          <t>.</t>
        </r>
      </text>
    </comment>
    <comment ref="F39" authorId="0" shapeId="0" xr:uid="{A89D79C6-E6A1-4734-8107-AE827BF4C485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입학정원임
</t>
        </r>
      </text>
    </comment>
    <comment ref="F40" authorId="0" shapeId="0" xr:uid="{E595EF9F-5670-4C41-BC57-677179B46988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입학정원임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1" authorId="0" shapeId="0" xr:uid="{4EF1C4E4-D0F3-493A-BB20-2AC826C3555F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학부제로</t>
        </r>
        <r>
          <rPr>
            <sz val="9"/>
            <color indexed="81"/>
            <rFont val="Tahoma"/>
            <family val="2"/>
          </rPr>
          <t>, 3</t>
        </r>
        <r>
          <rPr>
            <sz val="9"/>
            <color indexed="81"/>
            <rFont val="돋움"/>
            <family val="3"/>
            <charset val="129"/>
          </rPr>
          <t>전공으로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분할
</t>
        </r>
      </text>
    </comment>
    <comment ref="Z41" authorId="0" shapeId="0" xr:uid="{CCDD23AF-C42A-4C07-885C-0B88E6B82151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원활한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학사관리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사유로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편입을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받아들지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있음</t>
        </r>
        <r>
          <rPr>
            <sz val="9"/>
            <color indexed="81"/>
            <rFont val="Tahoma"/>
            <family val="2"/>
          </rPr>
          <t>.</t>
        </r>
      </text>
    </comment>
    <comment ref="F44" authorId="0" shapeId="0" xr:uid="{4117659E-EA12-4EEB-B535-3597D12B2A01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건축학전공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정원은</t>
        </r>
        <r>
          <rPr>
            <sz val="9"/>
            <color indexed="81"/>
            <rFont val="Tahoma"/>
            <family val="2"/>
          </rPr>
          <t xml:space="preserve"> 33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(2023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이전</t>
        </r>
        <r>
          <rPr>
            <sz val="9"/>
            <color indexed="81"/>
            <rFont val="Tahoma"/>
            <family val="2"/>
          </rPr>
          <t xml:space="preserve"> 32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이며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정원의</t>
        </r>
        <r>
          <rPr>
            <sz val="9"/>
            <color indexed="81"/>
            <rFont val="Tahoma"/>
            <family val="2"/>
          </rPr>
          <t xml:space="preserve"> 80%</t>
        </r>
        <r>
          <rPr>
            <sz val="9"/>
            <color indexed="81"/>
            <rFont val="돋움"/>
            <family val="3"/>
            <charset val="129"/>
          </rPr>
          <t>인</t>
        </r>
        <r>
          <rPr>
            <sz val="9"/>
            <color indexed="81"/>
            <rFont val="Tahoma"/>
            <family val="2"/>
          </rPr>
          <t xml:space="preserve"> 27</t>
        </r>
        <r>
          <rPr>
            <sz val="9"/>
            <color indexed="81"/>
            <rFont val="돋움"/>
            <family val="3"/>
            <charset val="129"/>
          </rPr>
          <t>명을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모집함</t>
        </r>
      </text>
    </comment>
    <comment ref="F46" authorId="0" shapeId="0" xr:uid="{73D6B7B8-9D39-43E0-99B2-564CDA9C0933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입학생정원은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학생기준임</t>
        </r>
        <r>
          <rPr>
            <sz val="9"/>
            <color indexed="81"/>
            <rFont val="Tahoma"/>
            <family val="2"/>
          </rPr>
          <t>.</t>
        </r>
      </text>
    </comment>
    <comment ref="F52" authorId="0" shapeId="0" xr:uid="{71F96787-B818-4022-9F8C-BD733280957D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입학정원임</t>
        </r>
      </text>
    </comment>
    <comment ref="F55" authorId="0" shapeId="0" xr:uid="{37181C80-35E4-4B1F-83D8-285F47E431D4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입학정원임</t>
        </r>
      </text>
    </comment>
    <comment ref="F60" authorId="0" shapeId="0" xr:uid="{7E6E52E3-0F8F-4139-890F-788E96D6D088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입학정원임</t>
        </r>
      </text>
    </comment>
    <comment ref="F61" authorId="0" shapeId="0" xr:uid="{537886BF-D0DC-4F08-9BDA-AEF5A490D17E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데이터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</text>
    </comment>
    <comment ref="F62" authorId="0" shapeId="0" xr:uid="{14B602F6-6543-44F2-AE7C-7F23DD1A05BA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데이터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</text>
    </comment>
    <comment ref="F75" authorId="0" shapeId="0" xr:uid="{7F098ACD-3092-4266-A594-74647795F99F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데이터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</text>
    </comment>
    <comment ref="F76" authorId="0" shapeId="0" xr:uid="{B71C78F8-85A4-477E-AB9E-868BB621CFEF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입학정원임
</t>
        </r>
      </text>
    </comment>
    <comment ref="F77" authorId="0" shapeId="0" xr:uid="{D293B4D2-95AF-4E68-BFA7-29BDEFA394DF}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데이터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</text>
    </comment>
  </commentList>
</comments>
</file>

<file path=xl/sharedStrings.xml><?xml version="1.0" encoding="utf-8"?>
<sst xmlns="http://schemas.openxmlformats.org/spreadsheetml/2006/main" count="291" uniqueCount="107">
  <si>
    <t>국립</t>
  </si>
  <si>
    <t>공과대학</t>
  </si>
  <si>
    <t>건축학/건축공학</t>
  </si>
  <si>
    <t>사립</t>
  </si>
  <si>
    <t>건축학</t>
  </si>
  <si>
    <t>건축대학</t>
  </si>
  <si>
    <t>시립</t>
  </si>
  <si>
    <t>도시과학대</t>
  </si>
  <si>
    <t>설계학점</t>
    <phoneticPr fontId="1" type="noConversion"/>
  </si>
  <si>
    <t>개설년도</t>
    <phoneticPr fontId="4" type="noConversion"/>
  </si>
  <si>
    <t>대학설립유형</t>
    <phoneticPr fontId="4" type="noConversion"/>
  </si>
  <si>
    <t>프로그램소속대학</t>
    <phoneticPr fontId="4" type="noConversion"/>
  </si>
  <si>
    <t>전공구성현황</t>
    <phoneticPr fontId="4" type="noConversion"/>
  </si>
  <si>
    <t>재학생
(건축학)</t>
    <phoneticPr fontId="1" type="noConversion"/>
  </si>
  <si>
    <t>졸업생</t>
    <phoneticPr fontId="1" type="noConversion"/>
  </si>
  <si>
    <t>교수현황</t>
    <phoneticPr fontId="1" type="noConversion"/>
  </si>
  <si>
    <t>전임교수 대비 재학생 비율</t>
    <phoneticPr fontId="2" type="noConversion"/>
  </si>
  <si>
    <t>스튜디오 1인당 면적(㎡)</t>
    <phoneticPr fontId="1" type="noConversion"/>
  </si>
  <si>
    <t>남</t>
    <phoneticPr fontId="1" type="noConversion"/>
  </si>
  <si>
    <t>여</t>
    <phoneticPr fontId="1" type="noConversion"/>
  </si>
  <si>
    <t>계</t>
    <phoneticPr fontId="1" type="noConversion"/>
  </si>
  <si>
    <t>전임</t>
    <phoneticPr fontId="1" type="noConversion"/>
  </si>
  <si>
    <t>비전임</t>
    <phoneticPr fontId="1" type="noConversion"/>
  </si>
  <si>
    <t>사립</t>
    <phoneticPr fontId="4" type="noConversion"/>
  </si>
  <si>
    <t>국립</t>
    <phoneticPr fontId="4" type="noConversion"/>
  </si>
  <si>
    <t>대학원</t>
    <phoneticPr fontId="1" type="noConversion"/>
  </si>
  <si>
    <t>공과대학</t>
    <phoneticPr fontId="4" type="noConversion"/>
  </si>
  <si>
    <t>사립</t>
    <phoneticPr fontId="1" type="noConversion"/>
  </si>
  <si>
    <t>공과대학</t>
    <phoneticPr fontId="1" type="noConversion"/>
  </si>
  <si>
    <t>과학기술대학</t>
    <phoneticPr fontId="1" type="noConversion"/>
  </si>
  <si>
    <t>건축학/건축공학</t>
    <phoneticPr fontId="1" type="noConversion"/>
  </si>
  <si>
    <t>국립</t>
    <phoneticPr fontId="1" type="noConversion"/>
  </si>
  <si>
    <t>설계사무소</t>
    <phoneticPr fontId="1" type="noConversion"/>
  </si>
  <si>
    <t>공무원</t>
    <phoneticPr fontId="1" type="noConversion"/>
  </si>
  <si>
    <t>유학</t>
    <phoneticPr fontId="1" type="noConversion"/>
  </si>
  <si>
    <t>기타</t>
    <phoneticPr fontId="1" type="noConversion"/>
  </si>
  <si>
    <t>졸업생 취업현황</t>
    <phoneticPr fontId="1" type="noConversion"/>
  </si>
  <si>
    <t>개인지도시간평균(분)</t>
    <phoneticPr fontId="1" type="noConversion"/>
  </si>
  <si>
    <t>건설환경조형대학</t>
    <phoneticPr fontId="1" type="noConversion"/>
  </si>
  <si>
    <t>-</t>
    <phoneticPr fontId="1" type="noConversion"/>
  </si>
  <si>
    <t>비고</t>
    <phoneticPr fontId="1" type="noConversion"/>
  </si>
  <si>
    <t>건축학</t>
    <phoneticPr fontId="1" type="noConversion"/>
  </si>
  <si>
    <t>건축설계/건축시스템</t>
    <phoneticPr fontId="1" type="noConversion"/>
  </si>
  <si>
    <t>디자인환경대학</t>
    <phoneticPr fontId="1" type="noConversion"/>
  </si>
  <si>
    <t>건축학/건축공학/도시공학/토목공학</t>
    <phoneticPr fontId="1" type="noConversion"/>
  </si>
  <si>
    <t>건축학/건축사회환경공학</t>
    <phoneticPr fontId="1" type="noConversion"/>
  </si>
  <si>
    <t>디자인건축융합대학</t>
    <phoneticPr fontId="1" type="noConversion"/>
  </si>
  <si>
    <t>건축학/실내공간디자인학전공</t>
    <phoneticPr fontId="1" type="noConversion"/>
  </si>
  <si>
    <t>건축도시설계/건축공학</t>
    <phoneticPr fontId="1" type="noConversion"/>
  </si>
  <si>
    <t>건설교통대학</t>
    <phoneticPr fontId="1" type="noConversion"/>
  </si>
  <si>
    <t>미술원</t>
    <phoneticPr fontId="1" type="noConversion"/>
  </si>
  <si>
    <t>건축과</t>
    <phoneticPr fontId="1" type="noConversion"/>
  </si>
  <si>
    <t>건축대학</t>
    <phoneticPr fontId="1" type="noConversion"/>
  </si>
  <si>
    <t>건축학/실내건축학</t>
    <phoneticPr fontId="1" type="noConversion"/>
  </si>
  <si>
    <t>김소월
대학</t>
    <phoneticPr fontId="1" type="noConversion"/>
  </si>
  <si>
    <t>문화예술대학</t>
    <phoneticPr fontId="1" type="noConversion"/>
  </si>
  <si>
    <t>건축ㆍ디자인대학</t>
    <phoneticPr fontId="1" type="noConversion"/>
  </si>
  <si>
    <t>토목공학/건축학/건축공학</t>
    <phoneticPr fontId="1" type="noConversion"/>
  </si>
  <si>
    <t>편입생</t>
    <phoneticPr fontId="1" type="noConversion"/>
  </si>
  <si>
    <t>지원자수</t>
    <phoneticPr fontId="1" type="noConversion"/>
  </si>
  <si>
    <t>입학생수</t>
    <phoneticPr fontId="1" type="noConversion"/>
  </si>
  <si>
    <t>전체
수</t>
    <phoneticPr fontId="1" type="noConversion"/>
  </si>
  <si>
    <t>건설
회사</t>
    <phoneticPr fontId="1" type="noConversion"/>
  </si>
  <si>
    <t>인테
리어</t>
    <phoneticPr fontId="1" type="noConversion"/>
  </si>
  <si>
    <t>건축학/건축공학/토목공학</t>
    <phoneticPr fontId="1" type="noConversion"/>
  </si>
  <si>
    <t>전통건축/건축학</t>
    <phoneticPr fontId="1" type="noConversion"/>
  </si>
  <si>
    <t>건축설계학과/실내건축설계학과</t>
    <phoneticPr fontId="1" type="noConversion"/>
  </si>
  <si>
    <t>건축학전공
입학
정원</t>
    <phoneticPr fontId="1" type="noConversion"/>
  </si>
  <si>
    <t>타과 전임</t>
    <phoneticPr fontId="1" type="noConversion"/>
  </si>
  <si>
    <t>졸업생 취업현황 자료 없음</t>
    <phoneticPr fontId="1" type="noConversion"/>
  </si>
  <si>
    <t>재학생 수 : 건설융합학부로 입학하여 전공배정을 받지 않은 학생의 수는 ‘건축학전공 정원(38)/건설융합학부 정원(194)’로 산정하여 합산함.</t>
    <phoneticPr fontId="1" type="noConversion"/>
  </si>
  <si>
    <t>2년 과정: 27학점, 3년과정: 51학점</t>
    <phoneticPr fontId="1" type="noConversion"/>
  </si>
  <si>
    <t>27/51</t>
    <phoneticPr fontId="1" type="noConversion"/>
  </si>
  <si>
    <t>사람</t>
    <phoneticPr fontId="1" type="noConversion"/>
  </si>
  <si>
    <t>건축학부 건축학전공</t>
    <phoneticPr fontId="1" type="noConversion"/>
  </si>
  <si>
    <t>건축학과</t>
    <phoneticPr fontId="1" type="noConversion"/>
  </si>
  <si>
    <t>건축디자인학과</t>
    <phoneticPr fontId="1" type="noConversion"/>
  </si>
  <si>
    <t xml:space="preserve">건축학과 </t>
    <phoneticPr fontId="1" type="noConversion"/>
  </si>
  <si>
    <t>건축학부 건축학전</t>
    <phoneticPr fontId="1" type="noConversion"/>
  </si>
  <si>
    <t>건축공학부 건축학전공</t>
    <phoneticPr fontId="4" type="noConversion"/>
  </si>
  <si>
    <t xml:space="preserve">재학생 자료 없음 </t>
    <phoneticPr fontId="1" type="noConversion"/>
  </si>
  <si>
    <t>2024년 1학년1학기 2학기, 2학년 1학기는 학과제임</t>
    <phoneticPr fontId="1" type="noConversion"/>
  </si>
  <si>
    <t xml:space="preserve">2024년 1학년 학부제, 2학년 학과제 </t>
    <phoneticPr fontId="1" type="noConversion"/>
  </si>
  <si>
    <t>33(27)</t>
    <phoneticPr fontId="1" type="noConversion"/>
  </si>
  <si>
    <t>2024년 1학년 ~3학년 학과제, 4학년~5학년 학부제임</t>
    <phoneticPr fontId="1" type="noConversion"/>
  </si>
  <si>
    <t>2024년 1학년 2학년 학부제.3학년~5학년 학과제임</t>
    <phoneticPr fontId="1" type="noConversion"/>
  </si>
  <si>
    <t>2024년 1학년 1학기 학부제.1학년 2학기~5학년 학과제임</t>
    <phoneticPr fontId="1" type="noConversion"/>
  </si>
  <si>
    <t>2024년 1학년 학부제. 2학년~5학년 학과제임</t>
    <phoneticPr fontId="1" type="noConversion"/>
  </si>
  <si>
    <t>2024년 1학년 학과제임.</t>
    <phoneticPr fontId="1" type="noConversion"/>
  </si>
  <si>
    <t>건축도시대학</t>
    <phoneticPr fontId="1" type="noConversion"/>
  </si>
  <si>
    <t>SMART 콘텐츠대학</t>
    <phoneticPr fontId="1" type="noConversion"/>
  </si>
  <si>
    <t>2024년 1학년 학부제임</t>
    <phoneticPr fontId="1" type="noConversion"/>
  </si>
  <si>
    <t>2024년 1학년~2학년 학부제임</t>
    <phoneticPr fontId="1" type="noConversion"/>
  </si>
  <si>
    <t>2024년 2학년~5학년 학부제임</t>
    <phoneticPr fontId="1" type="noConversion"/>
  </si>
  <si>
    <t>사립</t>
    <phoneticPr fontId="1" type="noConversion"/>
  </si>
  <si>
    <t>건축학부</t>
    <phoneticPr fontId="1" type="noConversion"/>
  </si>
  <si>
    <t>건축학전공</t>
    <phoneticPr fontId="1" type="noConversion"/>
  </si>
  <si>
    <t xml:space="preserve"> 건축학과</t>
    <phoneticPr fontId="1" type="noConversion"/>
  </si>
  <si>
    <t>2024년 1학년 학부제임. 2학년~5학년 학과제임</t>
    <phoneticPr fontId="1" type="noConversion"/>
  </si>
  <si>
    <t>2024년 1학년 ~5학년 학과제임</t>
    <phoneticPr fontId="1" type="noConversion"/>
  </si>
  <si>
    <t xml:space="preserve">사립 </t>
    <phoneticPr fontId="1" type="noConversion"/>
  </si>
  <si>
    <t>건축디자인학과</t>
    <phoneticPr fontId="1" type="noConversion"/>
  </si>
  <si>
    <t>건축설계학과</t>
    <phoneticPr fontId="1" type="noConversion"/>
  </si>
  <si>
    <t>2024년 1학년 1학기 학부제임 .졸업생 취업정보 없음</t>
    <phoneticPr fontId="1" type="noConversion"/>
  </si>
  <si>
    <t xml:space="preserve">졸업생 취업현황 정보 없음 </t>
    <phoneticPr fontId="1" type="noConversion"/>
  </si>
  <si>
    <t xml:space="preserve">2024년 1학년 학부제. 2학년~5학년 학과제임, 졸업생 취업현황 정보 없음 </t>
    <phoneticPr fontId="1" type="noConversion"/>
  </si>
  <si>
    <t>2024년 1학년1학기 학부제, 1학년 2학기부터 전공선택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</si>
</sst>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0_ "/>
    <numFmt numFmtId="178" formatCode="0.0;_탿"/>
    <numFmt numFmtId="179" formatCode="0_);[Red]\(0\)"/>
    <numFmt numFmtId="180" formatCode="0.0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7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color rgb="FF0000CC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1">
    <xf numFmtId="0" fontId="0" fillId="0" borderId="0" xfId="0">
      <alignment vertical="center"/>
    </xf>
    <xf numFmtId="0" fontId="7" fillId="2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7" fillId="2" borderId="20" xfId="0" applyNumberFormat="1" applyFont="1" applyFill="1" applyBorder="1" applyAlignment="1">
      <alignment horizontal="center" vertical="center" wrapText="1"/>
    </xf>
    <xf numFmtId="179" fontId="7" fillId="2" borderId="25" xfId="0" applyNumberFormat="1" applyFont="1" applyFill="1" applyBorder="1" applyAlignment="1">
      <alignment horizontal="center" vertical="center" wrapText="1"/>
    </xf>
    <xf numFmtId="179" fontId="7" fillId="2" borderId="24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9" fontId="6" fillId="0" borderId="21" xfId="0" applyNumberFormat="1" applyFont="1" applyBorder="1" applyAlignment="1">
      <alignment horizontal="center" vertical="center"/>
    </xf>
    <xf numFmtId="179" fontId="6" fillId="0" borderId="7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9" fontId="3" fillId="0" borderId="8" xfId="0" applyNumberFormat="1" applyFont="1" applyBorder="1" applyAlignment="1">
      <alignment horizontal="center" vertical="center"/>
    </xf>
    <xf numFmtId="179" fontId="3" fillId="0" borderId="3" xfId="0" applyNumberFormat="1" applyFont="1" applyBorder="1" applyAlignment="1">
      <alignment horizontal="center" vertical="center"/>
    </xf>
    <xf numFmtId="179" fontId="6" fillId="0" borderId="3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center" vertical="center"/>
    </xf>
    <xf numFmtId="178" fontId="3" fillId="0" borderId="15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179" fontId="6" fillId="0" borderId="5" xfId="0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79" fontId="6" fillId="0" borderId="22" xfId="0" applyNumberFormat="1" applyFont="1" applyBorder="1" applyAlignment="1">
      <alignment horizontal="center" vertical="center"/>
    </xf>
    <xf numFmtId="177" fontId="6" fillId="0" borderId="22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180" fontId="6" fillId="0" borderId="15" xfId="0" applyNumberFormat="1" applyFont="1" applyBorder="1" applyAlignment="1">
      <alignment horizontal="center" vertical="center"/>
    </xf>
    <xf numFmtId="180" fontId="3" fillId="0" borderId="15" xfId="0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77" fontId="6" fillId="0" borderId="21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178" fontId="6" fillId="0" borderId="15" xfId="0" applyNumberFormat="1" applyFont="1" applyBorder="1" applyAlignment="1">
      <alignment horizontal="center" vertical="center"/>
    </xf>
    <xf numFmtId="177" fontId="6" fillId="0" borderId="15" xfId="0" applyNumberFormat="1" applyFont="1" applyBorder="1" applyAlignment="1">
      <alignment horizontal="center" vertical="center"/>
    </xf>
    <xf numFmtId="177" fontId="3" fillId="0" borderId="21" xfId="0" applyNumberFormat="1" applyFont="1" applyBorder="1" applyAlignment="1">
      <alignment horizontal="center"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7" xfId="0" applyNumberFormat="1" applyFont="1" applyBorder="1" applyAlignment="1">
      <alignment horizontal="center" vertical="center"/>
    </xf>
    <xf numFmtId="177" fontId="6" fillId="0" borderId="14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177" fontId="3" fillId="0" borderId="22" xfId="0" applyNumberFormat="1" applyFont="1" applyBorder="1" applyAlignment="1">
      <alignment horizontal="center" vertical="center"/>
    </xf>
    <xf numFmtId="179" fontId="3" fillId="0" borderId="22" xfId="0" applyNumberFormat="1" applyFont="1" applyBorder="1" applyAlignment="1">
      <alignment horizontal="center" vertical="center"/>
    </xf>
    <xf numFmtId="179" fontId="3" fillId="0" borderId="5" xfId="0" applyNumberFormat="1" applyFont="1" applyBorder="1" applyAlignment="1">
      <alignment horizontal="center" vertical="center"/>
    </xf>
    <xf numFmtId="178" fontId="3" fillId="0" borderId="18" xfId="0" applyNumberFormat="1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176" fontId="6" fillId="0" borderId="15" xfId="0" applyNumberFormat="1" applyFont="1" applyFill="1" applyBorder="1" applyAlignment="1">
      <alignment horizontal="center" vertical="center"/>
    </xf>
    <xf numFmtId="177" fontId="6" fillId="0" borderId="8" xfId="0" applyNumberFormat="1" applyFont="1" applyFill="1" applyBorder="1" applyAlignment="1">
      <alignment horizontal="center" vertical="center"/>
    </xf>
    <xf numFmtId="178" fontId="6" fillId="0" borderId="15" xfId="0" applyNumberFormat="1" applyFont="1" applyFill="1" applyBorder="1" applyAlignment="1">
      <alignment horizontal="center" vertical="center"/>
    </xf>
    <xf numFmtId="179" fontId="6" fillId="0" borderId="8" xfId="0" applyNumberFormat="1" applyFont="1" applyFill="1" applyBorder="1" applyAlignment="1">
      <alignment horizontal="center" vertical="center"/>
    </xf>
    <xf numFmtId="179" fontId="6" fillId="0" borderId="3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177" fontId="3" fillId="0" borderId="8" xfId="0" applyNumberFormat="1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179" fontId="6" fillId="0" borderId="22" xfId="0" applyNumberFormat="1" applyFont="1" applyFill="1" applyBorder="1" applyAlignment="1">
      <alignment horizontal="center" vertical="center"/>
    </xf>
    <xf numFmtId="179" fontId="6" fillId="0" borderId="5" xfId="0" applyNumberFormat="1" applyFont="1" applyFill="1" applyBorder="1" applyAlignment="1">
      <alignment horizontal="center" vertical="center"/>
    </xf>
    <xf numFmtId="0" fontId="0" fillId="0" borderId="27" xfId="0" applyBorder="1">
      <alignment vertical="center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49" fontId="7" fillId="2" borderId="29" xfId="0" applyNumberFormat="1" applyFont="1" applyFill="1" applyBorder="1" applyAlignment="1">
      <alignment horizontal="center" vertical="center" wrapText="1"/>
    </xf>
    <xf numFmtId="49" fontId="7" fillId="2" borderId="30" xfId="0" applyNumberFormat="1" applyFont="1" applyFill="1" applyBorder="1" applyAlignment="1">
      <alignment horizontal="center" vertical="center" wrapText="1"/>
    </xf>
    <xf numFmtId="49" fontId="7" fillId="2" borderId="31" xfId="0" applyNumberFormat="1" applyFont="1" applyFill="1" applyBorder="1" applyAlignment="1">
      <alignment horizontal="center" vertical="center" wrapText="1"/>
    </xf>
    <xf numFmtId="0" fontId="0" fillId="0" borderId="23" xfId="0" applyBorder="1">
      <alignment vertical="center"/>
    </xf>
    <xf numFmtId="0" fontId="12" fillId="0" borderId="34" xfId="0" applyFont="1" applyBorder="1" applyAlignment="1">
      <alignment horizontal="center" vertical="center"/>
    </xf>
    <xf numFmtId="179" fontId="6" fillId="0" borderId="3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179" fontId="19" fillId="0" borderId="9" xfId="0" applyNumberFormat="1" applyFont="1" applyBorder="1" applyAlignment="1">
      <alignment horizontal="center" vertical="center"/>
    </xf>
    <xf numFmtId="179" fontId="6" fillId="3" borderId="9" xfId="0" applyNumberFormat="1" applyFont="1" applyFill="1" applyBorder="1" applyAlignment="1">
      <alignment horizontal="center" vertical="center"/>
    </xf>
    <xf numFmtId="179" fontId="6" fillId="0" borderId="9" xfId="0" applyNumberFormat="1" applyFont="1" applyFill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179" fontId="6" fillId="0" borderId="36" xfId="0" applyNumberFormat="1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center" vertical="center"/>
    </xf>
    <xf numFmtId="177" fontId="6" fillId="0" borderId="20" xfId="0" applyNumberFormat="1" applyFont="1" applyFill="1" applyBorder="1" applyAlignment="1">
      <alignment horizontal="center" vertical="center"/>
    </xf>
    <xf numFmtId="178" fontId="6" fillId="0" borderId="11" xfId="0" applyNumberFormat="1" applyFont="1" applyFill="1" applyBorder="1" applyAlignment="1">
      <alignment horizontal="center" vertical="center"/>
    </xf>
    <xf numFmtId="179" fontId="6" fillId="0" borderId="20" xfId="0" applyNumberFormat="1" applyFont="1" applyFill="1" applyBorder="1" applyAlignment="1">
      <alignment horizontal="center" vertical="center"/>
    </xf>
    <xf numFmtId="179" fontId="6" fillId="0" borderId="16" xfId="0" applyNumberFormat="1" applyFont="1" applyFill="1" applyBorder="1" applyAlignment="1">
      <alignment horizontal="center" vertical="center"/>
    </xf>
    <xf numFmtId="179" fontId="6" fillId="0" borderId="37" xfId="0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2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10" fillId="2" borderId="54" xfId="0" applyFont="1" applyFill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6" fillId="0" borderId="56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/>
    </xf>
    <xf numFmtId="0" fontId="13" fillId="2" borderId="58" xfId="0" applyFont="1" applyFill="1" applyBorder="1" applyAlignment="1">
      <alignment horizontal="center" vertical="center"/>
    </xf>
    <xf numFmtId="0" fontId="13" fillId="2" borderId="59" xfId="0" applyFont="1" applyFill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6" fillId="0" borderId="61" xfId="0" applyFont="1" applyBorder="1" applyAlignment="1">
      <alignment horizontal="left" vertical="center"/>
    </xf>
    <xf numFmtId="0" fontId="3" fillId="0" borderId="61" xfId="0" applyFont="1" applyBorder="1" applyAlignment="1">
      <alignment horizontal="left" vertical="center"/>
    </xf>
    <xf numFmtId="0" fontId="19" fillId="0" borderId="61" xfId="0" applyFont="1" applyBorder="1" applyAlignment="1">
      <alignment horizontal="center" vertical="center"/>
    </xf>
    <xf numFmtId="0" fontId="18" fillId="0" borderId="61" xfId="0" applyFont="1" applyBorder="1" applyAlignment="1">
      <alignment horizontal="center" vertical="center"/>
    </xf>
    <xf numFmtId="0" fontId="6" fillId="0" borderId="61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 wrapText="1"/>
    </xf>
    <xf numFmtId="0" fontId="3" fillId="0" borderId="61" xfId="0" applyFont="1" applyFill="1" applyBorder="1" applyAlignment="1">
      <alignment horizontal="left" vertical="center"/>
    </xf>
    <xf numFmtId="0" fontId="6" fillId="0" borderId="61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left" vertical="center"/>
    </xf>
    <xf numFmtId="0" fontId="6" fillId="0" borderId="62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3" fillId="0" borderId="6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78"/>
  <sheetViews>
    <sheetView tabSelected="1" view="pageBreakPreview" zoomScale="115" zoomScaleNormal="60" zoomScaleSheetLayoutView="115" workbookViewId="0">
      <pane xSplit="5" ySplit="2" topLeftCell="F3" activePane="bottomRight" state="frozen"/>
      <selection pane="topRight" activeCell="K1" sqref="K1"/>
      <selection pane="bottomLeft" activeCell="A3" sqref="A3"/>
      <selection pane="bottomRight" activeCell="F3" sqref="F3"/>
    </sheetView>
  </sheetViews>
  <sheetFormatPr defaultRowHeight="16.5" x14ac:dyDescent="0.3"/>
  <cols>
    <col min="1" max="1" width="4.25" customWidth="1"/>
    <col min="2" max="2" width="7" customWidth="1"/>
    <col min="3" max="3" width="5.75" customWidth="1"/>
    <col min="4" max="4" width="6.125" customWidth="1"/>
    <col min="5" max="5" width="24.5" customWidth="1"/>
    <col min="6" max="6" width="5.625" style="2" customWidth="1"/>
    <col min="7" max="7" width="6.375" style="2" customWidth="1"/>
    <col min="8" max="25" width="5.625" style="2" customWidth="1"/>
    <col min="26" max="27" width="5.625" style="4" customWidth="1"/>
    <col min="28" max="28" width="5.625" style="4" hidden="1" customWidth="1"/>
    <col min="29" max="29" width="41" style="3" customWidth="1"/>
  </cols>
  <sheetData>
    <row r="1" spans="1:34" ht="16.5" customHeight="1" x14ac:dyDescent="0.3">
      <c r="A1" s="97"/>
      <c r="B1" s="98" t="s">
        <v>9</v>
      </c>
      <c r="C1" s="98" t="s">
        <v>10</v>
      </c>
      <c r="D1" s="98" t="s">
        <v>11</v>
      </c>
      <c r="E1" s="98" t="s">
        <v>12</v>
      </c>
      <c r="F1" s="130" t="s">
        <v>67</v>
      </c>
      <c r="G1" s="105" t="s">
        <v>13</v>
      </c>
      <c r="H1" s="136" t="s">
        <v>14</v>
      </c>
      <c r="I1" s="137"/>
      <c r="J1" s="138"/>
      <c r="K1" s="99" t="s">
        <v>36</v>
      </c>
      <c r="L1" s="100"/>
      <c r="M1" s="100"/>
      <c r="N1" s="100"/>
      <c r="O1" s="100"/>
      <c r="P1" s="100"/>
      <c r="Q1" s="101"/>
      <c r="R1" s="99" t="s">
        <v>15</v>
      </c>
      <c r="S1" s="100"/>
      <c r="T1" s="100"/>
      <c r="U1" s="102"/>
      <c r="V1" s="103" t="s">
        <v>16</v>
      </c>
      <c r="W1" s="104" t="s">
        <v>17</v>
      </c>
      <c r="X1" s="98" t="s">
        <v>8</v>
      </c>
      <c r="Y1" s="105" t="s">
        <v>37</v>
      </c>
      <c r="Z1" s="106" t="s">
        <v>58</v>
      </c>
      <c r="AA1" s="107"/>
      <c r="AB1" s="108"/>
      <c r="AC1" s="185" t="s">
        <v>40</v>
      </c>
    </row>
    <row r="2" spans="1:34" ht="23.25" thickBot="1" x14ac:dyDescent="0.35">
      <c r="A2" s="109"/>
      <c r="B2" s="75"/>
      <c r="C2" s="75"/>
      <c r="D2" s="75"/>
      <c r="E2" s="75"/>
      <c r="F2" s="131"/>
      <c r="G2" s="132"/>
      <c r="H2" s="139" t="s">
        <v>18</v>
      </c>
      <c r="I2" s="140" t="s">
        <v>19</v>
      </c>
      <c r="J2" s="141" t="s">
        <v>20</v>
      </c>
      <c r="K2" s="168" t="s">
        <v>32</v>
      </c>
      <c r="L2" s="169" t="s">
        <v>62</v>
      </c>
      <c r="M2" s="169" t="s">
        <v>63</v>
      </c>
      <c r="N2" s="169" t="s">
        <v>33</v>
      </c>
      <c r="O2" s="169" t="s">
        <v>34</v>
      </c>
      <c r="P2" s="169" t="s">
        <v>25</v>
      </c>
      <c r="Q2" s="170" t="s">
        <v>35</v>
      </c>
      <c r="R2" s="139" t="s">
        <v>21</v>
      </c>
      <c r="S2" s="140" t="s">
        <v>22</v>
      </c>
      <c r="T2" s="174" t="s">
        <v>68</v>
      </c>
      <c r="U2" s="1" t="s">
        <v>20</v>
      </c>
      <c r="V2" s="78"/>
      <c r="W2" s="76"/>
      <c r="X2" s="75"/>
      <c r="Y2" s="77"/>
      <c r="Z2" s="5" t="s">
        <v>59</v>
      </c>
      <c r="AA2" s="6" t="s">
        <v>60</v>
      </c>
      <c r="AB2" s="7" t="s">
        <v>61</v>
      </c>
      <c r="AC2" s="186"/>
    </row>
    <row r="3" spans="1:34" ht="21" customHeight="1" x14ac:dyDescent="0.3">
      <c r="A3" s="110">
        <v>1</v>
      </c>
      <c r="B3" s="9">
        <v>2004</v>
      </c>
      <c r="C3" s="9" t="s">
        <v>27</v>
      </c>
      <c r="D3" s="9" t="s">
        <v>28</v>
      </c>
      <c r="E3" s="9" t="s">
        <v>30</v>
      </c>
      <c r="F3" s="133">
        <v>150</v>
      </c>
      <c r="G3" s="58">
        <f>29+32+34+36+62</f>
        <v>193</v>
      </c>
      <c r="H3" s="142">
        <v>35</v>
      </c>
      <c r="I3" s="143">
        <v>16</v>
      </c>
      <c r="J3" s="144">
        <f>SUM(H3:I3)</f>
        <v>51</v>
      </c>
      <c r="K3" s="142">
        <v>24</v>
      </c>
      <c r="L3" s="143">
        <v>0</v>
      </c>
      <c r="M3" s="143">
        <v>0</v>
      </c>
      <c r="N3" s="143">
        <v>0</v>
      </c>
      <c r="O3" s="143">
        <v>0</v>
      </c>
      <c r="P3" s="143">
        <v>1</v>
      </c>
      <c r="Q3" s="144">
        <v>26</v>
      </c>
      <c r="R3" s="142">
        <v>7</v>
      </c>
      <c r="S3" s="143">
        <v>29</v>
      </c>
      <c r="T3" s="175">
        <v>0</v>
      </c>
      <c r="U3" s="8">
        <f>SUM(R3:T3)</f>
        <v>36</v>
      </c>
      <c r="V3" s="11">
        <f>G3/R3</f>
        <v>27.571428571428573</v>
      </c>
      <c r="W3" s="59">
        <f>1228.7/G3</f>
        <v>6.3663212435233163</v>
      </c>
      <c r="X3" s="35">
        <v>54</v>
      </c>
      <c r="Y3" s="57">
        <f>(130+109+124+124+141+141+107+114)/19.3</f>
        <v>51.295336787564764</v>
      </c>
      <c r="Z3" s="12">
        <v>17</v>
      </c>
      <c r="AA3" s="13">
        <v>3</v>
      </c>
      <c r="AB3" s="111"/>
      <c r="AC3" s="187"/>
    </row>
    <row r="4" spans="1:34" ht="21" customHeight="1" x14ac:dyDescent="0.3">
      <c r="A4" s="112">
        <v>2</v>
      </c>
      <c r="B4" s="15">
        <v>2002</v>
      </c>
      <c r="C4" s="15" t="s">
        <v>0</v>
      </c>
      <c r="D4" s="15" t="s">
        <v>1</v>
      </c>
      <c r="E4" s="15" t="s">
        <v>41</v>
      </c>
      <c r="F4" s="16">
        <f>24+24+23+25+25</f>
        <v>121</v>
      </c>
      <c r="G4" s="17">
        <f>30+21+15</f>
        <v>66</v>
      </c>
      <c r="H4" s="145">
        <v>19</v>
      </c>
      <c r="I4" s="146">
        <v>15</v>
      </c>
      <c r="J4" s="147">
        <f>SUM(H4:I4)</f>
        <v>34</v>
      </c>
      <c r="K4" s="145">
        <v>22</v>
      </c>
      <c r="L4" s="146">
        <v>0</v>
      </c>
      <c r="M4" s="146">
        <v>1</v>
      </c>
      <c r="N4" s="146">
        <v>0</v>
      </c>
      <c r="O4" s="146">
        <v>0</v>
      </c>
      <c r="P4" s="146">
        <v>0</v>
      </c>
      <c r="Q4" s="147">
        <v>11</v>
      </c>
      <c r="R4" s="145">
        <v>10</v>
      </c>
      <c r="S4" s="146">
        <v>18</v>
      </c>
      <c r="T4" s="176">
        <v>0</v>
      </c>
      <c r="U4" s="14">
        <f>SUM(R4:T4)</f>
        <v>28</v>
      </c>
      <c r="V4" s="18">
        <f>G4/R4</f>
        <v>6.6</v>
      </c>
      <c r="W4" s="19">
        <f>((175.7*6)+145.8+145.8+171.6+171.6)/G4</f>
        <v>25.590909090909083</v>
      </c>
      <c r="X4" s="20">
        <v>60</v>
      </c>
      <c r="Y4" s="56">
        <v>65.5</v>
      </c>
      <c r="Z4" s="21">
        <v>33</v>
      </c>
      <c r="AA4" s="22">
        <v>7</v>
      </c>
      <c r="AB4" s="113"/>
      <c r="AC4" s="188"/>
      <c r="AF4" s="50"/>
      <c r="AG4" s="50"/>
      <c r="AH4" s="50"/>
    </row>
    <row r="5" spans="1:34" ht="21" customHeight="1" x14ac:dyDescent="0.3">
      <c r="A5" s="112">
        <v>3</v>
      </c>
      <c r="B5" s="15">
        <v>1999</v>
      </c>
      <c r="C5" s="15" t="s">
        <v>3</v>
      </c>
      <c r="D5" s="15" t="s">
        <v>39</v>
      </c>
      <c r="E5" s="15" t="s">
        <v>66</v>
      </c>
      <c r="F5" s="16">
        <v>37</v>
      </c>
      <c r="G5" s="17">
        <v>99</v>
      </c>
      <c r="H5" s="145">
        <v>5</v>
      </c>
      <c r="I5" s="146">
        <v>15</v>
      </c>
      <c r="J5" s="147">
        <f>SUM(H5:I5)</f>
        <v>20</v>
      </c>
      <c r="K5" s="145">
        <v>9</v>
      </c>
      <c r="L5" s="146">
        <v>0</v>
      </c>
      <c r="M5" s="146">
        <v>0</v>
      </c>
      <c r="N5" s="146">
        <v>0</v>
      </c>
      <c r="O5" s="146">
        <v>0</v>
      </c>
      <c r="P5" s="146">
        <v>0</v>
      </c>
      <c r="Q5" s="147">
        <v>11</v>
      </c>
      <c r="R5" s="145">
        <v>4</v>
      </c>
      <c r="S5" s="146">
        <v>21</v>
      </c>
      <c r="T5" s="176">
        <v>0</v>
      </c>
      <c r="U5" s="14">
        <f>SUM(R5:T5)</f>
        <v>25</v>
      </c>
      <c r="V5" s="18">
        <f>G5/R5</f>
        <v>24.75</v>
      </c>
      <c r="W5" s="19">
        <f>1101.6/G5</f>
        <v>11.127272727272727</v>
      </c>
      <c r="X5" s="20" t="s">
        <v>72</v>
      </c>
      <c r="Y5" s="55">
        <f>433.8/9.9</f>
        <v>43.81818181818182</v>
      </c>
      <c r="Z5" s="25">
        <v>168</v>
      </c>
      <c r="AA5" s="23">
        <v>32</v>
      </c>
      <c r="AB5" s="113"/>
      <c r="AC5" s="189" t="s">
        <v>71</v>
      </c>
    </row>
    <row r="6" spans="1:34" ht="21" customHeight="1" x14ac:dyDescent="0.3">
      <c r="A6" s="112">
        <v>4</v>
      </c>
      <c r="B6" s="15">
        <v>2002</v>
      </c>
      <c r="C6" s="15" t="s">
        <v>3</v>
      </c>
      <c r="D6" s="15" t="s">
        <v>1</v>
      </c>
      <c r="E6" s="15" t="s">
        <v>2</v>
      </c>
      <c r="F6" s="16">
        <f>45+55+49+46+43</f>
        <v>238</v>
      </c>
      <c r="G6" s="17">
        <f>45+55+59+64+57</f>
        <v>280</v>
      </c>
      <c r="H6" s="145">
        <v>0</v>
      </c>
      <c r="I6" s="146">
        <v>0</v>
      </c>
      <c r="J6" s="147">
        <v>40</v>
      </c>
      <c r="K6" s="145">
        <v>16</v>
      </c>
      <c r="L6" s="146">
        <v>5</v>
      </c>
      <c r="M6" s="146">
        <v>1</v>
      </c>
      <c r="N6" s="146">
        <v>0</v>
      </c>
      <c r="O6" s="146">
        <v>0</v>
      </c>
      <c r="P6" s="146">
        <v>0</v>
      </c>
      <c r="Q6" s="147">
        <v>18</v>
      </c>
      <c r="R6" s="145">
        <v>10</v>
      </c>
      <c r="S6" s="146">
        <v>21</v>
      </c>
      <c r="T6" s="176">
        <v>0</v>
      </c>
      <c r="U6" s="14">
        <f>SUM(R6:T6)</f>
        <v>31</v>
      </c>
      <c r="V6" s="18">
        <f>G6/R6</f>
        <v>28</v>
      </c>
      <c r="W6" s="19">
        <f>(188.75+188.75+219.5+274.4+284.08+284.08+302.55+302.55+342.83+342.83)/G6</f>
        <v>9.751142857142856</v>
      </c>
      <c r="X6" s="20">
        <v>60</v>
      </c>
      <c r="Y6" s="18">
        <v>47</v>
      </c>
      <c r="Z6" s="25">
        <v>6</v>
      </c>
      <c r="AA6" s="23">
        <v>6</v>
      </c>
      <c r="AB6" s="113"/>
      <c r="AC6" s="190"/>
    </row>
    <row r="7" spans="1:34" ht="21" customHeight="1" x14ac:dyDescent="0.3">
      <c r="A7" s="112">
        <v>5</v>
      </c>
      <c r="B7" s="15">
        <v>2002</v>
      </c>
      <c r="C7" s="15" t="s">
        <v>0</v>
      </c>
      <c r="D7" s="15" t="s">
        <v>1</v>
      </c>
      <c r="E7" s="15" t="s">
        <v>2</v>
      </c>
      <c r="F7" s="16">
        <v>200</v>
      </c>
      <c r="G7" s="17">
        <f>41+51+45+40+50</f>
        <v>227</v>
      </c>
      <c r="H7" s="145">
        <v>16</v>
      </c>
      <c r="I7" s="146">
        <v>17</v>
      </c>
      <c r="J7" s="147">
        <f t="shared" ref="J7" si="0">SUM(H7:I7)</f>
        <v>33</v>
      </c>
      <c r="K7" s="145">
        <v>4</v>
      </c>
      <c r="L7" s="146">
        <v>0</v>
      </c>
      <c r="M7" s="146">
        <v>0</v>
      </c>
      <c r="N7" s="146">
        <v>0</v>
      </c>
      <c r="O7" s="146">
        <v>0</v>
      </c>
      <c r="P7" s="146">
        <v>0</v>
      </c>
      <c r="Q7" s="147">
        <v>29</v>
      </c>
      <c r="R7" s="145">
        <v>10</v>
      </c>
      <c r="S7" s="146">
        <v>35</v>
      </c>
      <c r="T7" s="176">
        <v>0</v>
      </c>
      <c r="U7" s="14">
        <f t="shared" ref="U7:U63" si="1">SUM(R7:T7)</f>
        <v>45</v>
      </c>
      <c r="V7" s="18">
        <f>G7/R7</f>
        <v>22.7</v>
      </c>
      <c r="W7" s="19">
        <f>2302.4/G7</f>
        <v>10.14273127753304</v>
      </c>
      <c r="X7" s="20">
        <v>57</v>
      </c>
      <c r="Y7" s="18">
        <v>67</v>
      </c>
      <c r="Z7" s="25">
        <v>40</v>
      </c>
      <c r="AA7" s="23">
        <v>4</v>
      </c>
      <c r="AB7" s="113"/>
      <c r="AC7" s="188"/>
      <c r="AF7" s="50"/>
      <c r="AG7" s="50"/>
      <c r="AH7" s="50"/>
    </row>
    <row r="8" spans="1:34" ht="21" customHeight="1" x14ac:dyDescent="0.3">
      <c r="A8" s="112">
        <v>6</v>
      </c>
      <c r="B8" s="27">
        <v>2002</v>
      </c>
      <c r="C8" s="27" t="s">
        <v>0</v>
      </c>
      <c r="D8" s="27" t="s">
        <v>1</v>
      </c>
      <c r="E8" s="27" t="s">
        <v>41</v>
      </c>
      <c r="F8" s="26">
        <v>0</v>
      </c>
      <c r="G8" s="24">
        <f>52+38+44+37+41+1+7+12+16+36</f>
        <v>284</v>
      </c>
      <c r="H8" s="148">
        <f>15+19</f>
        <v>34</v>
      </c>
      <c r="I8" s="149">
        <f>18+11</f>
        <v>29</v>
      </c>
      <c r="J8" s="150">
        <f t="shared" ref="J8:J37" si="2">SUM(H8:I8)</f>
        <v>63</v>
      </c>
      <c r="K8" s="148">
        <f>16+7</f>
        <v>23</v>
      </c>
      <c r="L8" s="149">
        <v>1</v>
      </c>
      <c r="M8" s="149">
        <v>0</v>
      </c>
      <c r="N8" s="149">
        <v>0</v>
      </c>
      <c r="O8" s="149">
        <v>0</v>
      </c>
      <c r="P8" s="149">
        <v>1</v>
      </c>
      <c r="Q8" s="150">
        <f>25+13</f>
        <v>38</v>
      </c>
      <c r="R8" s="148">
        <f>6+6</f>
        <v>12</v>
      </c>
      <c r="S8" s="149">
        <f>22+10</f>
        <v>32</v>
      </c>
      <c r="T8" s="177">
        <v>0</v>
      </c>
      <c r="U8" s="20">
        <f t="shared" si="1"/>
        <v>44</v>
      </c>
      <c r="V8" s="28">
        <f>G8/R8</f>
        <v>23.666666666666668</v>
      </c>
      <c r="W8" s="29">
        <f>(2049.6+567.2)/G8</f>
        <v>9.214084507042255</v>
      </c>
      <c r="X8" s="48">
        <v>50</v>
      </c>
      <c r="Y8" s="28">
        <f>(55.8+66.9)/2</f>
        <v>61.35</v>
      </c>
      <c r="Z8" s="25">
        <v>0</v>
      </c>
      <c r="AA8" s="23">
        <v>9</v>
      </c>
      <c r="AB8" s="113"/>
      <c r="AC8" s="191"/>
    </row>
    <row r="9" spans="1:34" ht="21" customHeight="1" x14ac:dyDescent="0.3">
      <c r="A9" s="112">
        <v>7</v>
      </c>
      <c r="B9" s="15">
        <v>2007</v>
      </c>
      <c r="C9" s="15" t="s">
        <v>27</v>
      </c>
      <c r="D9" s="15" t="s">
        <v>28</v>
      </c>
      <c r="E9" s="15" t="s">
        <v>41</v>
      </c>
      <c r="F9" s="16">
        <v>53</v>
      </c>
      <c r="G9" s="17">
        <f>41+31+44+54+70</f>
        <v>240</v>
      </c>
      <c r="H9" s="145">
        <v>34</v>
      </c>
      <c r="I9" s="146">
        <v>23</v>
      </c>
      <c r="J9" s="147">
        <f t="shared" si="2"/>
        <v>57</v>
      </c>
      <c r="K9" s="145">
        <v>0</v>
      </c>
      <c r="L9" s="146">
        <v>0</v>
      </c>
      <c r="M9" s="146">
        <v>0</v>
      </c>
      <c r="N9" s="146">
        <v>0</v>
      </c>
      <c r="O9" s="146">
        <v>0</v>
      </c>
      <c r="P9" s="146">
        <v>0</v>
      </c>
      <c r="Q9" s="147">
        <v>0</v>
      </c>
      <c r="R9" s="145">
        <v>10</v>
      </c>
      <c r="S9" s="146">
        <v>25</v>
      </c>
      <c r="T9" s="176">
        <v>0</v>
      </c>
      <c r="U9" s="14">
        <f t="shared" si="1"/>
        <v>35</v>
      </c>
      <c r="V9" s="18">
        <f>G9/R9</f>
        <v>24</v>
      </c>
      <c r="W9" s="60">
        <f>111.8*6/240+139.7*4/240</f>
        <v>5.1233333333333331</v>
      </c>
      <c r="X9" s="20">
        <v>48</v>
      </c>
      <c r="Y9" s="30">
        <v>48.81</v>
      </c>
      <c r="Z9" s="25">
        <v>3</v>
      </c>
      <c r="AA9" s="23">
        <v>3</v>
      </c>
      <c r="AB9" s="113"/>
      <c r="AC9" s="189" t="s">
        <v>69</v>
      </c>
      <c r="AF9" s="50"/>
      <c r="AG9" s="50"/>
      <c r="AH9" s="50"/>
    </row>
    <row r="10" spans="1:34" ht="21" customHeight="1" x14ac:dyDescent="0.3">
      <c r="A10" s="112">
        <v>8</v>
      </c>
      <c r="B10" s="27">
        <v>2003</v>
      </c>
      <c r="C10" s="27" t="s">
        <v>27</v>
      </c>
      <c r="D10" s="27" t="s">
        <v>28</v>
      </c>
      <c r="E10" s="27" t="s">
        <v>57</v>
      </c>
      <c r="F10" s="134">
        <f>40+40+40+30+30</f>
        <v>180</v>
      </c>
      <c r="G10" s="24">
        <f>46+43+32+28+11</f>
        <v>160</v>
      </c>
      <c r="H10" s="148">
        <v>16</v>
      </c>
      <c r="I10" s="151">
        <v>12</v>
      </c>
      <c r="J10" s="150">
        <f>SUM(H10:I10)</f>
        <v>28</v>
      </c>
      <c r="K10" s="148">
        <v>0</v>
      </c>
      <c r="L10" s="149">
        <v>0</v>
      </c>
      <c r="M10" s="149">
        <v>0</v>
      </c>
      <c r="N10" s="149">
        <v>0</v>
      </c>
      <c r="O10" s="149">
        <v>0</v>
      </c>
      <c r="P10" s="149">
        <v>0</v>
      </c>
      <c r="Q10" s="150">
        <v>0</v>
      </c>
      <c r="R10" s="148">
        <v>7</v>
      </c>
      <c r="S10" s="151">
        <v>6</v>
      </c>
      <c r="T10" s="178">
        <v>0</v>
      </c>
      <c r="U10" s="31">
        <f t="shared" si="1"/>
        <v>13</v>
      </c>
      <c r="V10" s="18">
        <f>G10/R10</f>
        <v>22.857142857142858</v>
      </c>
      <c r="W10" s="29">
        <f>2631/G10</f>
        <v>16.443750000000001</v>
      </c>
      <c r="X10" s="20">
        <v>51</v>
      </c>
      <c r="Y10" s="30">
        <f>3.3+4+4+5.6+6+5.2+5.2+5.2+4.8</f>
        <v>43.3</v>
      </c>
      <c r="Z10" s="25">
        <v>23</v>
      </c>
      <c r="AA10" s="23">
        <v>8</v>
      </c>
      <c r="AB10" s="113"/>
      <c r="AC10" s="190" t="s">
        <v>69</v>
      </c>
    </row>
    <row r="11" spans="1:34" ht="21" customHeight="1" x14ac:dyDescent="0.3">
      <c r="A11" s="112">
        <v>9</v>
      </c>
      <c r="B11" s="27">
        <v>2003</v>
      </c>
      <c r="C11" s="27" t="s">
        <v>3</v>
      </c>
      <c r="D11" s="27" t="s">
        <v>1</v>
      </c>
      <c r="E11" s="27" t="s">
        <v>4</v>
      </c>
      <c r="F11" s="16">
        <v>40</v>
      </c>
      <c r="G11" s="24">
        <f>48+48+47+50+55</f>
        <v>248</v>
      </c>
      <c r="H11" s="148">
        <v>30</v>
      </c>
      <c r="I11" s="151">
        <v>14</v>
      </c>
      <c r="J11" s="150">
        <f t="shared" ref="J11:J40" si="3">SUM(H11:I11)</f>
        <v>44</v>
      </c>
      <c r="K11" s="148">
        <v>0</v>
      </c>
      <c r="L11" s="149">
        <v>0</v>
      </c>
      <c r="M11" s="149">
        <v>0</v>
      </c>
      <c r="N11" s="149">
        <v>0</v>
      </c>
      <c r="O11" s="149">
        <v>0</v>
      </c>
      <c r="P11" s="149">
        <v>0</v>
      </c>
      <c r="Q11" s="150">
        <v>0</v>
      </c>
      <c r="R11" s="148">
        <v>11</v>
      </c>
      <c r="S11" s="151">
        <v>32</v>
      </c>
      <c r="T11" s="178">
        <v>0</v>
      </c>
      <c r="U11" s="31">
        <f t="shared" si="1"/>
        <v>43</v>
      </c>
      <c r="V11" s="28">
        <f>G11/R11</f>
        <v>22.545454545454547</v>
      </c>
      <c r="W11" s="29">
        <f>997.59/G11</f>
        <v>4.0225403225806451</v>
      </c>
      <c r="X11" s="20">
        <v>48</v>
      </c>
      <c r="Y11" s="28">
        <v>65.099999999999994</v>
      </c>
      <c r="Z11" s="25">
        <v>0</v>
      </c>
      <c r="AA11" s="23">
        <v>5</v>
      </c>
      <c r="AB11" s="113"/>
      <c r="AC11" s="190" t="s">
        <v>69</v>
      </c>
    </row>
    <row r="12" spans="1:34" ht="21" customHeight="1" x14ac:dyDescent="0.3">
      <c r="A12" s="112">
        <v>10</v>
      </c>
      <c r="B12" s="15">
        <v>2002</v>
      </c>
      <c r="C12" s="15" t="s">
        <v>31</v>
      </c>
      <c r="D12" s="15" t="s">
        <v>28</v>
      </c>
      <c r="E12" s="15" t="s">
        <v>41</v>
      </c>
      <c r="F12" s="26">
        <f>32*5</f>
        <v>160</v>
      </c>
      <c r="G12" s="17">
        <f>34+22+43+35+28</f>
        <v>162</v>
      </c>
      <c r="H12" s="145">
        <v>12</v>
      </c>
      <c r="I12" s="146">
        <v>13</v>
      </c>
      <c r="J12" s="147">
        <f t="shared" si="3"/>
        <v>25</v>
      </c>
      <c r="K12" s="145">
        <v>17</v>
      </c>
      <c r="L12" s="146">
        <v>0</v>
      </c>
      <c r="M12" s="146">
        <v>0</v>
      </c>
      <c r="N12" s="146">
        <v>0</v>
      </c>
      <c r="O12" s="146">
        <v>0</v>
      </c>
      <c r="P12" s="146">
        <v>0</v>
      </c>
      <c r="Q12" s="147">
        <v>6</v>
      </c>
      <c r="R12" s="145">
        <v>5</v>
      </c>
      <c r="S12" s="146">
        <v>28</v>
      </c>
      <c r="T12" s="176">
        <v>0</v>
      </c>
      <c r="U12" s="14">
        <f t="shared" si="1"/>
        <v>33</v>
      </c>
      <c r="V12" s="18">
        <f>G12/R12</f>
        <v>32.4</v>
      </c>
      <c r="W12" s="19">
        <f>164.4*6/G12+146.4*4/G12+149.3*2/G12</f>
        <v>11.546913580246914</v>
      </c>
      <c r="X12" s="14">
        <v>54</v>
      </c>
      <c r="Y12" s="30">
        <v>56.45</v>
      </c>
      <c r="Z12" s="25">
        <v>17</v>
      </c>
      <c r="AA12" s="23">
        <v>4</v>
      </c>
      <c r="AB12" s="113"/>
      <c r="AC12" s="191"/>
    </row>
    <row r="13" spans="1:34" ht="21" customHeight="1" x14ac:dyDescent="0.3">
      <c r="A13" s="112">
        <v>11</v>
      </c>
      <c r="B13" s="27">
        <v>2003</v>
      </c>
      <c r="C13" s="27" t="s">
        <v>27</v>
      </c>
      <c r="D13" s="27" t="s">
        <v>28</v>
      </c>
      <c r="E13" s="27" t="s">
        <v>41</v>
      </c>
      <c r="F13" s="134">
        <f>31*5</f>
        <v>155</v>
      </c>
      <c r="G13" s="24">
        <f>32+26+18+40+24</f>
        <v>140</v>
      </c>
      <c r="H13" s="148">
        <v>13</v>
      </c>
      <c r="I13" s="151">
        <v>8</v>
      </c>
      <c r="J13" s="150">
        <f>SUM(H13:I13)</f>
        <v>21</v>
      </c>
      <c r="K13" s="148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50">
        <v>0</v>
      </c>
      <c r="R13" s="148">
        <v>6</v>
      </c>
      <c r="S13" s="151">
        <v>14</v>
      </c>
      <c r="T13" s="178">
        <v>4</v>
      </c>
      <c r="U13" s="31">
        <f t="shared" si="1"/>
        <v>24</v>
      </c>
      <c r="V13" s="28">
        <f>G13/R13</f>
        <v>23.333333333333332</v>
      </c>
      <c r="W13" s="29">
        <f>585.68/G13</f>
        <v>4.1834285714285713</v>
      </c>
      <c r="X13" s="20">
        <v>57</v>
      </c>
      <c r="Y13" s="30">
        <v>70.619</v>
      </c>
      <c r="Z13" s="25">
        <v>1</v>
      </c>
      <c r="AA13" s="23">
        <v>1</v>
      </c>
      <c r="AB13" s="113"/>
      <c r="AC13" s="190" t="s">
        <v>69</v>
      </c>
      <c r="AF13" s="50"/>
      <c r="AG13" s="50"/>
      <c r="AH13" s="50"/>
    </row>
    <row r="14" spans="1:34" ht="21" customHeight="1" x14ac:dyDescent="0.3">
      <c r="A14" s="112">
        <v>12</v>
      </c>
      <c r="B14" s="15">
        <v>2002</v>
      </c>
      <c r="C14" s="15" t="s">
        <v>3</v>
      </c>
      <c r="D14" s="15" t="s">
        <v>5</v>
      </c>
      <c r="E14" s="15" t="s">
        <v>42</v>
      </c>
      <c r="F14" s="16">
        <f>65*5</f>
        <v>325</v>
      </c>
      <c r="G14" s="17">
        <f>78+82+71+79+61</f>
        <v>371</v>
      </c>
      <c r="H14" s="145">
        <v>38</v>
      </c>
      <c r="I14" s="146">
        <v>27</v>
      </c>
      <c r="J14" s="147">
        <f t="shared" ref="J14:J43" si="4">SUM(H14:I14)</f>
        <v>65</v>
      </c>
      <c r="K14" s="145">
        <v>20</v>
      </c>
      <c r="L14" s="146">
        <v>5</v>
      </c>
      <c r="M14" s="146">
        <v>0</v>
      </c>
      <c r="N14" s="146">
        <v>3</v>
      </c>
      <c r="O14" s="146">
        <v>0</v>
      </c>
      <c r="P14" s="146">
        <v>0</v>
      </c>
      <c r="Q14" s="147">
        <v>37</v>
      </c>
      <c r="R14" s="145">
        <v>10</v>
      </c>
      <c r="S14" s="146">
        <v>34</v>
      </c>
      <c r="T14" s="176">
        <v>0</v>
      </c>
      <c r="U14" s="14">
        <f t="shared" si="1"/>
        <v>44</v>
      </c>
      <c r="V14" s="18">
        <f>G14/R14</f>
        <v>37.1</v>
      </c>
      <c r="W14" s="19">
        <f>220.48*6/G14+176.18*4/G14</f>
        <v>5.4652291105121291</v>
      </c>
      <c r="X14" s="20">
        <v>50</v>
      </c>
      <c r="Y14" s="18">
        <v>46.8</v>
      </c>
      <c r="Z14" s="25">
        <v>77</v>
      </c>
      <c r="AA14" s="23">
        <v>5</v>
      </c>
      <c r="AB14" s="113"/>
      <c r="AC14" s="188"/>
    </row>
    <row r="15" spans="1:34" ht="21" customHeight="1" x14ac:dyDescent="0.3">
      <c r="A15" s="112">
        <v>13</v>
      </c>
      <c r="B15" s="15">
        <v>2003</v>
      </c>
      <c r="C15" s="15" t="s">
        <v>31</v>
      </c>
      <c r="D15" s="15" t="s">
        <v>28</v>
      </c>
      <c r="E15" s="15" t="s">
        <v>30</v>
      </c>
      <c r="F15" s="26">
        <f>49+25+25+25+25</f>
        <v>149</v>
      </c>
      <c r="G15" s="17">
        <f>46+23+23+27+38</f>
        <v>157</v>
      </c>
      <c r="H15" s="145">
        <v>16</v>
      </c>
      <c r="I15" s="146">
        <v>14</v>
      </c>
      <c r="J15" s="147">
        <f t="shared" si="4"/>
        <v>30</v>
      </c>
      <c r="K15" s="145">
        <v>12</v>
      </c>
      <c r="L15" s="146">
        <v>0</v>
      </c>
      <c r="M15" s="146">
        <v>0</v>
      </c>
      <c r="N15" s="146">
        <v>3</v>
      </c>
      <c r="O15" s="146">
        <v>1</v>
      </c>
      <c r="P15" s="146">
        <v>1</v>
      </c>
      <c r="Q15" s="147">
        <v>13</v>
      </c>
      <c r="R15" s="145">
        <v>11</v>
      </c>
      <c r="S15" s="146">
        <v>6</v>
      </c>
      <c r="T15" s="176">
        <v>0</v>
      </c>
      <c r="U15" s="14">
        <f t="shared" si="1"/>
        <v>17</v>
      </c>
      <c r="V15" s="18">
        <f>G15/R15</f>
        <v>14.272727272727273</v>
      </c>
      <c r="W15" s="19">
        <f>(126+126+97.2+129.6+97.2+129.6+97.2+130.04+97.64+129.6)/G15</f>
        <v>7.3890445859872607</v>
      </c>
      <c r="X15" s="20">
        <v>54</v>
      </c>
      <c r="Y15" s="18">
        <v>47</v>
      </c>
      <c r="Z15" s="25">
        <v>5</v>
      </c>
      <c r="AA15" s="23">
        <v>3</v>
      </c>
      <c r="AB15" s="113"/>
      <c r="AC15" s="188"/>
    </row>
    <row r="16" spans="1:34" ht="21" customHeight="1" x14ac:dyDescent="0.3">
      <c r="A16" s="112">
        <v>14</v>
      </c>
      <c r="B16" s="27">
        <v>2008</v>
      </c>
      <c r="C16" s="27" t="s">
        <v>27</v>
      </c>
      <c r="D16" s="27" t="s">
        <v>28</v>
      </c>
      <c r="E16" s="27" t="s">
        <v>41</v>
      </c>
      <c r="F16" s="134">
        <v>45</v>
      </c>
      <c r="G16" s="80"/>
      <c r="H16" s="148">
        <v>27</v>
      </c>
      <c r="I16" s="151">
        <v>14</v>
      </c>
      <c r="J16" s="150">
        <f t="shared" si="4"/>
        <v>41</v>
      </c>
      <c r="K16" s="148">
        <v>0</v>
      </c>
      <c r="L16" s="149">
        <v>0</v>
      </c>
      <c r="M16" s="149">
        <v>0</v>
      </c>
      <c r="N16" s="149">
        <v>0</v>
      </c>
      <c r="O16" s="149">
        <v>0</v>
      </c>
      <c r="P16" s="149">
        <v>2</v>
      </c>
      <c r="Q16" s="150">
        <v>0</v>
      </c>
      <c r="R16" s="148">
        <v>9</v>
      </c>
      <c r="S16" s="151">
        <v>31</v>
      </c>
      <c r="T16" s="178">
        <v>0</v>
      </c>
      <c r="U16" s="31">
        <f t="shared" si="1"/>
        <v>40</v>
      </c>
      <c r="V16" s="18">
        <f>G16/R16</f>
        <v>0</v>
      </c>
      <c r="W16" s="29">
        <v>0</v>
      </c>
      <c r="X16" s="20">
        <v>60</v>
      </c>
      <c r="Y16" s="30">
        <f>9.836+10.714+10.286+10.91+9+9.23+14.118+9.23+9.474+10.286</f>
        <v>103.084</v>
      </c>
      <c r="Z16" s="25">
        <v>2</v>
      </c>
      <c r="AA16" s="23">
        <v>2</v>
      </c>
      <c r="AB16" s="113"/>
      <c r="AC16" s="190" t="s">
        <v>80</v>
      </c>
    </row>
    <row r="17" spans="1:34" ht="21" customHeight="1" x14ac:dyDescent="0.3">
      <c r="A17" s="112">
        <v>15</v>
      </c>
      <c r="B17" s="32">
        <v>2002</v>
      </c>
      <c r="C17" s="32" t="s">
        <v>3</v>
      </c>
      <c r="D17" s="32" t="s">
        <v>5</v>
      </c>
      <c r="E17" s="32" t="s">
        <v>2</v>
      </c>
      <c r="F17" s="16">
        <f>50*5</f>
        <v>250</v>
      </c>
      <c r="G17" s="17">
        <f>44+52+44+49+61</f>
        <v>250</v>
      </c>
      <c r="H17" s="148">
        <v>22</v>
      </c>
      <c r="I17" s="149">
        <v>24</v>
      </c>
      <c r="J17" s="147">
        <f t="shared" si="4"/>
        <v>46</v>
      </c>
      <c r="K17" s="145">
        <v>14</v>
      </c>
      <c r="L17" s="146">
        <v>0</v>
      </c>
      <c r="M17" s="146">
        <v>0</v>
      </c>
      <c r="N17" s="146">
        <v>1</v>
      </c>
      <c r="O17" s="146">
        <v>0</v>
      </c>
      <c r="P17" s="146">
        <v>2</v>
      </c>
      <c r="Q17" s="147">
        <v>4</v>
      </c>
      <c r="R17" s="145">
        <v>9</v>
      </c>
      <c r="S17" s="146">
        <v>0</v>
      </c>
      <c r="T17" s="176">
        <v>0</v>
      </c>
      <c r="U17" s="14">
        <f t="shared" si="1"/>
        <v>9</v>
      </c>
      <c r="V17" s="18">
        <f>G17/R17</f>
        <v>27.777777777777779</v>
      </c>
      <c r="W17" s="19">
        <f>2639.6/G17</f>
        <v>10.558399999999999</v>
      </c>
      <c r="X17" s="20">
        <v>54</v>
      </c>
      <c r="Y17" s="17">
        <v>62.2</v>
      </c>
      <c r="Z17" s="21">
        <v>148</v>
      </c>
      <c r="AA17" s="22">
        <v>8</v>
      </c>
      <c r="AB17" s="113"/>
      <c r="AC17" s="192"/>
    </row>
    <row r="18" spans="1:34" ht="21" customHeight="1" x14ac:dyDescent="0.3">
      <c r="A18" s="112">
        <v>16</v>
      </c>
      <c r="B18" s="15">
        <v>2005</v>
      </c>
      <c r="C18" s="15" t="s">
        <v>27</v>
      </c>
      <c r="D18" s="15" t="s">
        <v>28</v>
      </c>
      <c r="E18" s="15" t="s">
        <v>30</v>
      </c>
      <c r="F18" s="26">
        <f>160+30</f>
        <v>190</v>
      </c>
      <c r="G18" s="24">
        <f>34+26+36+36+30</f>
        <v>162</v>
      </c>
      <c r="H18" s="148">
        <v>14</v>
      </c>
      <c r="I18" s="149">
        <v>17</v>
      </c>
      <c r="J18" s="150">
        <f t="shared" si="4"/>
        <v>31</v>
      </c>
      <c r="K18" s="148">
        <v>18</v>
      </c>
      <c r="L18" s="149">
        <v>0</v>
      </c>
      <c r="M18" s="149">
        <v>0</v>
      </c>
      <c r="N18" s="149">
        <v>0</v>
      </c>
      <c r="O18" s="149">
        <v>0</v>
      </c>
      <c r="P18" s="149">
        <v>0</v>
      </c>
      <c r="Q18" s="150">
        <v>13</v>
      </c>
      <c r="R18" s="148">
        <v>6</v>
      </c>
      <c r="S18" s="149">
        <v>21</v>
      </c>
      <c r="T18" s="177">
        <v>0</v>
      </c>
      <c r="U18" s="20">
        <f>SUM(R18:T18)</f>
        <v>27</v>
      </c>
      <c r="V18" s="28">
        <f>G18/R18</f>
        <v>27</v>
      </c>
      <c r="W18" s="29">
        <f>1916.08/G18</f>
        <v>11.827654320987653</v>
      </c>
      <c r="X18" s="20">
        <v>51</v>
      </c>
      <c r="Y18" s="62">
        <v>58.84</v>
      </c>
      <c r="Z18" s="25">
        <v>15</v>
      </c>
      <c r="AA18" s="23">
        <v>7</v>
      </c>
      <c r="AB18" s="115"/>
      <c r="AC18" s="189"/>
    </row>
    <row r="19" spans="1:34" ht="21" customHeight="1" x14ac:dyDescent="0.3">
      <c r="A19" s="114">
        <v>17</v>
      </c>
      <c r="B19" s="27">
        <v>2011</v>
      </c>
      <c r="C19" s="27" t="s">
        <v>27</v>
      </c>
      <c r="D19" s="27" t="s">
        <v>28</v>
      </c>
      <c r="E19" s="27" t="s">
        <v>39</v>
      </c>
      <c r="F19" s="134">
        <f>29+29+29+29+36</f>
        <v>152</v>
      </c>
      <c r="G19" s="24">
        <f>29+27+53+44+17+15+1</f>
        <v>186</v>
      </c>
      <c r="H19" s="148">
        <v>5</v>
      </c>
      <c r="I19" s="151">
        <v>17</v>
      </c>
      <c r="J19" s="150">
        <f t="shared" si="4"/>
        <v>22</v>
      </c>
      <c r="K19" s="148">
        <v>0</v>
      </c>
      <c r="L19" s="149">
        <v>0</v>
      </c>
      <c r="M19" s="149">
        <v>0</v>
      </c>
      <c r="N19" s="149">
        <v>0</v>
      </c>
      <c r="O19" s="149">
        <v>0</v>
      </c>
      <c r="P19" s="149">
        <v>0</v>
      </c>
      <c r="Q19" s="150">
        <f>5+12</f>
        <v>17</v>
      </c>
      <c r="R19" s="148">
        <v>4</v>
      </c>
      <c r="S19" s="151">
        <v>22</v>
      </c>
      <c r="T19" s="178">
        <v>0</v>
      </c>
      <c r="U19" s="31">
        <f t="shared" ref="U19:U75" si="5">SUM(R19:T19)</f>
        <v>26</v>
      </c>
      <c r="V19" s="18">
        <f>G19/R19</f>
        <v>46.5</v>
      </c>
      <c r="W19" s="29">
        <f>37.75*10/G19</f>
        <v>2.0295698924731185</v>
      </c>
      <c r="X19" s="79">
        <v>21</v>
      </c>
      <c r="Y19" s="30">
        <v>56.43</v>
      </c>
      <c r="Z19" s="21">
        <v>0</v>
      </c>
      <c r="AA19" s="22">
        <v>0</v>
      </c>
      <c r="AB19" s="113"/>
      <c r="AC19" s="190"/>
    </row>
    <row r="20" spans="1:34" ht="21" customHeight="1" x14ac:dyDescent="0.3">
      <c r="A20" s="112">
        <v>18</v>
      </c>
      <c r="B20" s="27">
        <v>2012</v>
      </c>
      <c r="C20" s="27" t="s">
        <v>27</v>
      </c>
      <c r="D20" s="27" t="s">
        <v>56</v>
      </c>
      <c r="E20" s="27" t="s">
        <v>41</v>
      </c>
      <c r="F20" s="134">
        <f>40+40+45+50+54</f>
        <v>229</v>
      </c>
      <c r="G20" s="24">
        <f>41+31+50+52+71</f>
        <v>245</v>
      </c>
      <c r="H20" s="148">
        <v>17</v>
      </c>
      <c r="I20" s="151">
        <v>19</v>
      </c>
      <c r="J20" s="150">
        <f>SUM(H20:I20)</f>
        <v>36</v>
      </c>
      <c r="K20" s="148">
        <v>28</v>
      </c>
      <c r="L20" s="149">
        <v>0</v>
      </c>
      <c r="M20" s="149">
        <v>0</v>
      </c>
      <c r="N20" s="149">
        <v>0</v>
      </c>
      <c r="O20" s="149">
        <v>0</v>
      </c>
      <c r="P20" s="149">
        <v>0</v>
      </c>
      <c r="Q20" s="150">
        <v>0</v>
      </c>
      <c r="R20" s="148">
        <v>7</v>
      </c>
      <c r="S20" s="151">
        <v>19</v>
      </c>
      <c r="T20" s="178">
        <v>0</v>
      </c>
      <c r="U20" s="31">
        <f>SUM(R20:T20)</f>
        <v>26</v>
      </c>
      <c r="V20" s="18">
        <f>G20/R20</f>
        <v>35</v>
      </c>
      <c r="W20" s="29">
        <f>(493.2+493.2+192.4+188+210.4)*2/G20</f>
        <v>12.875102040816326</v>
      </c>
      <c r="X20" s="20">
        <v>51</v>
      </c>
      <c r="Y20" s="30">
        <v>43.58</v>
      </c>
      <c r="Z20" s="21">
        <v>18</v>
      </c>
      <c r="AA20" s="22">
        <v>13</v>
      </c>
      <c r="AB20" s="113"/>
      <c r="AC20" s="188"/>
    </row>
    <row r="21" spans="1:34" ht="21" customHeight="1" x14ac:dyDescent="0.3">
      <c r="A21" s="112">
        <v>19</v>
      </c>
      <c r="B21" s="27">
        <v>2004</v>
      </c>
      <c r="C21" s="27" t="s">
        <v>27</v>
      </c>
      <c r="D21" s="27" t="s">
        <v>28</v>
      </c>
      <c r="E21" s="27" t="s">
        <v>64</v>
      </c>
      <c r="F21" s="26">
        <f>42+42+42+40+40</f>
        <v>206</v>
      </c>
      <c r="G21" s="24">
        <f>35+27+25+37+47</f>
        <v>171</v>
      </c>
      <c r="H21" s="148">
        <v>23</v>
      </c>
      <c r="I21" s="149">
        <v>6</v>
      </c>
      <c r="J21" s="150">
        <f t="shared" ref="J21:J50" si="6">SUM(H21:I21)</f>
        <v>29</v>
      </c>
      <c r="K21" s="148">
        <v>11</v>
      </c>
      <c r="L21" s="149">
        <v>5</v>
      </c>
      <c r="M21" s="149">
        <v>0</v>
      </c>
      <c r="N21" s="149">
        <v>1</v>
      </c>
      <c r="O21" s="149">
        <v>0</v>
      </c>
      <c r="P21" s="149">
        <v>0</v>
      </c>
      <c r="Q21" s="150">
        <v>12</v>
      </c>
      <c r="R21" s="148">
        <v>5</v>
      </c>
      <c r="S21" s="149">
        <v>18</v>
      </c>
      <c r="T21" s="177">
        <v>0</v>
      </c>
      <c r="U21" s="20">
        <f t="shared" ref="U21:U77" si="7">SUM(R21:T21)</f>
        <v>23</v>
      </c>
      <c r="V21" s="28">
        <f>G21/R21</f>
        <v>34.200000000000003</v>
      </c>
      <c r="W21" s="29">
        <f>1538/G21</f>
        <v>8.9941520467836256</v>
      </c>
      <c r="X21" s="20">
        <v>51</v>
      </c>
      <c r="Y21" s="62">
        <v>48.44</v>
      </c>
      <c r="Z21" s="25">
        <v>0</v>
      </c>
      <c r="AA21" s="23">
        <v>2</v>
      </c>
      <c r="AB21" s="113"/>
      <c r="AC21" s="193"/>
    </row>
    <row r="22" spans="1:34" ht="21" customHeight="1" x14ac:dyDescent="0.3">
      <c r="A22" s="114">
        <v>20</v>
      </c>
      <c r="B22" s="15">
        <v>2002</v>
      </c>
      <c r="C22" s="15" t="s">
        <v>3</v>
      </c>
      <c r="D22" s="15" t="s">
        <v>43</v>
      </c>
      <c r="E22" s="15" t="s">
        <v>41</v>
      </c>
      <c r="F22" s="16">
        <f>55*5</f>
        <v>275</v>
      </c>
      <c r="G22" s="17">
        <f>56+58+55+59+59</f>
        <v>287</v>
      </c>
      <c r="H22" s="148">
        <v>17</v>
      </c>
      <c r="I22" s="149">
        <v>26</v>
      </c>
      <c r="J22" s="147">
        <f t="shared" si="6"/>
        <v>43</v>
      </c>
      <c r="K22" s="145">
        <v>22</v>
      </c>
      <c r="L22" s="146">
        <v>2</v>
      </c>
      <c r="M22" s="146">
        <v>0</v>
      </c>
      <c r="N22" s="146">
        <v>1</v>
      </c>
      <c r="O22" s="146">
        <v>1</v>
      </c>
      <c r="P22" s="146">
        <v>0</v>
      </c>
      <c r="Q22" s="147">
        <v>11</v>
      </c>
      <c r="R22" s="145">
        <v>8</v>
      </c>
      <c r="S22" s="146">
        <v>3</v>
      </c>
      <c r="T22" s="176">
        <v>0</v>
      </c>
      <c r="U22" s="14">
        <f t="shared" si="7"/>
        <v>11</v>
      </c>
      <c r="V22" s="18">
        <f>G22/R22</f>
        <v>35.875</v>
      </c>
      <c r="W22" s="19">
        <f>(172+172+172+172+216.8+216.8+182.4+182.4+136.8+136.8+206.4+206.4)/G22</f>
        <v>7.5707317073170737</v>
      </c>
      <c r="X22" s="14">
        <v>63</v>
      </c>
      <c r="Y22" s="18">
        <f>4.9+5.26+4.5+4.44+5.33+5.14+4.41+4.41+4.41+4.41+4.5</f>
        <v>51.709999999999994</v>
      </c>
      <c r="Z22" s="21">
        <v>23</v>
      </c>
      <c r="AA22" s="22">
        <v>7</v>
      </c>
      <c r="AB22" s="113"/>
      <c r="AC22" s="192"/>
    </row>
    <row r="23" spans="1:34" ht="21" customHeight="1" x14ac:dyDescent="0.3">
      <c r="A23" s="112">
        <v>21</v>
      </c>
      <c r="B23" s="15">
        <v>2002</v>
      </c>
      <c r="C23" s="15" t="s">
        <v>27</v>
      </c>
      <c r="D23" s="15" t="s">
        <v>28</v>
      </c>
      <c r="E23" s="15" t="s">
        <v>44</v>
      </c>
      <c r="F23" s="16">
        <f>45+45+40+40+40</f>
        <v>210</v>
      </c>
      <c r="G23" s="17">
        <f>59+55+41+55+50</f>
        <v>260</v>
      </c>
      <c r="H23" s="145">
        <v>22</v>
      </c>
      <c r="I23" s="146">
        <v>19</v>
      </c>
      <c r="J23" s="147">
        <f t="shared" si="6"/>
        <v>41</v>
      </c>
      <c r="K23" s="145">
        <v>21</v>
      </c>
      <c r="L23" s="146">
        <v>0</v>
      </c>
      <c r="M23" s="146">
        <v>0</v>
      </c>
      <c r="N23" s="146">
        <v>0</v>
      </c>
      <c r="O23" s="146">
        <v>0</v>
      </c>
      <c r="P23" s="146">
        <v>2</v>
      </c>
      <c r="Q23" s="147">
        <v>18</v>
      </c>
      <c r="R23" s="145">
        <v>8</v>
      </c>
      <c r="S23" s="146">
        <v>17</v>
      </c>
      <c r="T23" s="176">
        <v>0</v>
      </c>
      <c r="U23" s="14">
        <f t="shared" si="7"/>
        <v>25</v>
      </c>
      <c r="V23" s="18">
        <f>G23/R23</f>
        <v>32.5</v>
      </c>
      <c r="W23" s="19">
        <f>2369/G23</f>
        <v>9.111538461538462</v>
      </c>
      <c r="X23" s="20">
        <v>51</v>
      </c>
      <c r="Y23" s="30">
        <v>51.9</v>
      </c>
      <c r="Z23" s="25">
        <v>9</v>
      </c>
      <c r="AA23" s="23">
        <v>2</v>
      </c>
      <c r="AB23" s="113"/>
      <c r="AC23" s="188"/>
    </row>
    <row r="24" spans="1:34" ht="21" customHeight="1" x14ac:dyDescent="0.3">
      <c r="A24" s="112">
        <v>22</v>
      </c>
      <c r="B24" s="27" t="s">
        <v>39</v>
      </c>
      <c r="C24" s="27" t="s">
        <v>27</v>
      </c>
      <c r="D24" s="15" t="s">
        <v>5</v>
      </c>
      <c r="E24" s="27" t="s">
        <v>65</v>
      </c>
      <c r="F24" s="134">
        <f>69+69+77+77+77</f>
        <v>369</v>
      </c>
      <c r="G24" s="17">
        <f>52+57+69+77+75</f>
        <v>330</v>
      </c>
      <c r="H24" s="145">
        <v>36</v>
      </c>
      <c r="I24" s="146">
        <v>20</v>
      </c>
      <c r="J24" s="150">
        <f t="shared" si="6"/>
        <v>56</v>
      </c>
      <c r="K24" s="148">
        <v>21</v>
      </c>
      <c r="L24" s="149">
        <v>2</v>
      </c>
      <c r="M24" s="149">
        <v>0</v>
      </c>
      <c r="N24" s="149">
        <v>0</v>
      </c>
      <c r="O24" s="149">
        <v>0</v>
      </c>
      <c r="P24" s="149">
        <v>2</v>
      </c>
      <c r="Q24" s="150">
        <v>31</v>
      </c>
      <c r="R24" s="145">
        <v>4</v>
      </c>
      <c r="S24" s="146">
        <v>41</v>
      </c>
      <c r="T24" s="176">
        <v>0</v>
      </c>
      <c r="U24" s="14">
        <f t="shared" si="7"/>
        <v>45</v>
      </c>
      <c r="V24" s="18">
        <f>G24/R24</f>
        <v>82.5</v>
      </c>
      <c r="W24" s="29">
        <f>4290/G24</f>
        <v>13</v>
      </c>
      <c r="X24" s="20">
        <v>51</v>
      </c>
      <c r="Y24" s="30">
        <f>5.2+5.2+5.71+5.22+5.53+5.31+8.4+6.87+5.53+5.6</f>
        <v>58.57</v>
      </c>
      <c r="Z24" s="21">
        <v>111</v>
      </c>
      <c r="AA24" s="22">
        <v>4</v>
      </c>
      <c r="AB24" s="113"/>
      <c r="AC24" s="188"/>
    </row>
    <row r="25" spans="1:34" ht="21" customHeight="1" x14ac:dyDescent="0.3">
      <c r="A25" s="112">
        <v>23</v>
      </c>
      <c r="B25" s="15">
        <v>2002</v>
      </c>
      <c r="C25" s="15" t="s">
        <v>3</v>
      </c>
      <c r="D25" s="15" t="s">
        <v>5</v>
      </c>
      <c r="E25" s="15" t="s">
        <v>65</v>
      </c>
      <c r="F25" s="134">
        <f>(77*4)+69</f>
        <v>377</v>
      </c>
      <c r="G25" s="17">
        <f>27+15+15+14+18</f>
        <v>89</v>
      </c>
      <c r="H25" s="145">
        <v>8</v>
      </c>
      <c r="I25" s="146">
        <v>7</v>
      </c>
      <c r="J25" s="147">
        <f>H25+I25</f>
        <v>15</v>
      </c>
      <c r="K25" s="145">
        <v>11</v>
      </c>
      <c r="L25" s="146">
        <v>0</v>
      </c>
      <c r="M25" s="146">
        <v>0</v>
      </c>
      <c r="N25" s="146">
        <v>0</v>
      </c>
      <c r="O25" s="146">
        <v>0</v>
      </c>
      <c r="P25" s="146">
        <v>0</v>
      </c>
      <c r="Q25" s="147">
        <v>4</v>
      </c>
      <c r="R25" s="145">
        <v>20</v>
      </c>
      <c r="S25" s="146">
        <v>41</v>
      </c>
      <c r="T25" s="176">
        <v>0</v>
      </c>
      <c r="U25" s="14">
        <f t="shared" si="7"/>
        <v>61</v>
      </c>
      <c r="V25" s="18">
        <f>G25/R25</f>
        <v>4.45</v>
      </c>
      <c r="W25" s="29">
        <f>4290/G25</f>
        <v>48.202247191011239</v>
      </c>
      <c r="X25" s="20">
        <v>51</v>
      </c>
      <c r="Y25" s="30">
        <v>58.57</v>
      </c>
      <c r="Z25" s="21">
        <v>0</v>
      </c>
      <c r="AA25" s="22">
        <v>0</v>
      </c>
      <c r="AB25" s="113"/>
      <c r="AC25" s="191"/>
    </row>
    <row r="26" spans="1:34" ht="21" customHeight="1" x14ac:dyDescent="0.3">
      <c r="A26" s="112">
        <v>24</v>
      </c>
      <c r="B26" s="15">
        <v>2002</v>
      </c>
      <c r="C26" s="15" t="s">
        <v>0</v>
      </c>
      <c r="D26" s="15" t="s">
        <v>1</v>
      </c>
      <c r="E26" s="15" t="s">
        <v>41</v>
      </c>
      <c r="F26" s="16">
        <f>90+33+28</f>
        <v>151</v>
      </c>
      <c r="G26" s="17">
        <f>33+38+30+33+28</f>
        <v>162</v>
      </c>
      <c r="H26" s="145">
        <v>18</v>
      </c>
      <c r="I26" s="146">
        <v>10</v>
      </c>
      <c r="J26" s="147">
        <f>H26+I26</f>
        <v>28</v>
      </c>
      <c r="K26" s="145">
        <v>21</v>
      </c>
      <c r="L26" s="146">
        <v>0</v>
      </c>
      <c r="M26" s="146">
        <v>0</v>
      </c>
      <c r="N26" s="146">
        <v>0</v>
      </c>
      <c r="O26" s="146">
        <v>0</v>
      </c>
      <c r="P26" s="146">
        <v>1</v>
      </c>
      <c r="Q26" s="147">
        <v>0</v>
      </c>
      <c r="R26" s="145">
        <v>9</v>
      </c>
      <c r="S26" s="146">
        <v>13</v>
      </c>
      <c r="T26" s="176">
        <v>0</v>
      </c>
      <c r="U26" s="14">
        <f t="shared" si="7"/>
        <v>22</v>
      </c>
      <c r="V26" s="18">
        <f>G26/R26</f>
        <v>18</v>
      </c>
      <c r="W26" s="19">
        <f>(131.1+136.2+130.2+129.4+107.1)/G26</f>
        <v>3.9135802469135803</v>
      </c>
      <c r="X26" s="14">
        <v>54</v>
      </c>
      <c r="Y26" s="18">
        <f>6.75+7.44+2.66+2.48+8+8+4.36+4.36+3.6+5.14+9+9+3+5.14+9+9</f>
        <v>96.929999999999993</v>
      </c>
      <c r="Z26" s="21">
        <v>3</v>
      </c>
      <c r="AA26" s="22">
        <v>3</v>
      </c>
      <c r="AB26" s="113"/>
      <c r="AC26" s="188"/>
    </row>
    <row r="27" spans="1:34" ht="21" customHeight="1" x14ac:dyDescent="0.3">
      <c r="A27" s="112">
        <v>25</v>
      </c>
      <c r="B27" s="15">
        <v>2002</v>
      </c>
      <c r="C27" s="15" t="s">
        <v>27</v>
      </c>
      <c r="D27" s="15" t="s">
        <v>54</v>
      </c>
      <c r="E27" s="15" t="s">
        <v>53</v>
      </c>
      <c r="F27" s="16">
        <f>43+40+40+30+33</f>
        <v>186</v>
      </c>
      <c r="G27" s="17">
        <f>47+33+33+30+42</f>
        <v>185</v>
      </c>
      <c r="H27" s="145">
        <v>17</v>
      </c>
      <c r="I27" s="146">
        <v>17</v>
      </c>
      <c r="J27" s="147">
        <f t="shared" ref="J27:J56" si="8">SUM(H27:I27)</f>
        <v>34</v>
      </c>
      <c r="K27" s="145">
        <v>16</v>
      </c>
      <c r="L27" s="146">
        <v>1</v>
      </c>
      <c r="M27" s="146">
        <v>0</v>
      </c>
      <c r="N27" s="146">
        <v>0</v>
      </c>
      <c r="O27" s="146">
        <v>0</v>
      </c>
      <c r="P27" s="146">
        <v>0</v>
      </c>
      <c r="Q27" s="147">
        <v>17</v>
      </c>
      <c r="R27" s="145">
        <v>7</v>
      </c>
      <c r="S27" s="146">
        <v>21</v>
      </c>
      <c r="T27" s="176">
        <v>0</v>
      </c>
      <c r="U27" s="14">
        <f t="shared" si="7"/>
        <v>28</v>
      </c>
      <c r="V27" s="18">
        <f>G27/R27</f>
        <v>26.428571428571427</v>
      </c>
      <c r="W27" s="19">
        <f>1306.7/G27</f>
        <v>7.0632432432432433</v>
      </c>
      <c r="X27" s="14">
        <v>54</v>
      </c>
      <c r="Y27" s="18">
        <v>49.3</v>
      </c>
      <c r="Z27" s="25">
        <v>20</v>
      </c>
      <c r="AA27" s="23">
        <v>6</v>
      </c>
      <c r="AB27" s="113"/>
      <c r="AC27" s="188"/>
      <c r="AF27" s="50"/>
      <c r="AG27" s="50"/>
      <c r="AH27" s="50"/>
    </row>
    <row r="28" spans="1:34" ht="21" customHeight="1" x14ac:dyDescent="0.3">
      <c r="A28" s="112">
        <v>26</v>
      </c>
      <c r="B28" s="15">
        <v>2002</v>
      </c>
      <c r="C28" s="15" t="s">
        <v>0</v>
      </c>
      <c r="D28" s="15" t="s">
        <v>28</v>
      </c>
      <c r="E28" s="15" t="s">
        <v>41</v>
      </c>
      <c r="F28" s="26">
        <v>40</v>
      </c>
      <c r="G28" s="17">
        <f>49+64+46+31+44</f>
        <v>234</v>
      </c>
      <c r="H28" s="145">
        <v>14</v>
      </c>
      <c r="I28" s="146">
        <v>12</v>
      </c>
      <c r="J28" s="147">
        <f t="shared" si="8"/>
        <v>26</v>
      </c>
      <c r="K28" s="145">
        <v>14</v>
      </c>
      <c r="L28" s="146">
        <v>2</v>
      </c>
      <c r="M28" s="146">
        <v>0</v>
      </c>
      <c r="N28" s="146">
        <v>1</v>
      </c>
      <c r="O28" s="146">
        <v>1</v>
      </c>
      <c r="P28" s="146">
        <v>2</v>
      </c>
      <c r="Q28" s="147">
        <v>6</v>
      </c>
      <c r="R28" s="145">
        <v>8</v>
      </c>
      <c r="S28" s="146">
        <v>20</v>
      </c>
      <c r="T28" s="176">
        <v>0</v>
      </c>
      <c r="U28" s="14">
        <f t="shared" si="7"/>
        <v>28</v>
      </c>
      <c r="V28" s="18">
        <f>G28/R28</f>
        <v>29.25</v>
      </c>
      <c r="W28" s="19">
        <f>(168+168+144+144+168+144+144+168+198.24+198.24)/G28</f>
        <v>7.0276923076923081</v>
      </c>
      <c r="X28" s="14">
        <v>54</v>
      </c>
      <c r="Y28" s="28">
        <v>68.319999999999993</v>
      </c>
      <c r="Z28" s="25">
        <v>0</v>
      </c>
      <c r="AA28" s="23">
        <v>0</v>
      </c>
      <c r="AB28" s="113"/>
      <c r="AC28" s="188"/>
      <c r="AF28" s="51"/>
      <c r="AG28" s="52"/>
      <c r="AH28" s="51"/>
    </row>
    <row r="29" spans="1:34" ht="21" customHeight="1" x14ac:dyDescent="0.3">
      <c r="A29" s="112">
        <v>27</v>
      </c>
      <c r="B29" s="27">
        <v>2002</v>
      </c>
      <c r="C29" s="27" t="s">
        <v>0</v>
      </c>
      <c r="D29" s="27" t="s">
        <v>28</v>
      </c>
      <c r="E29" s="27" t="s">
        <v>44</v>
      </c>
      <c r="F29" s="134">
        <f>38*5</f>
        <v>190</v>
      </c>
      <c r="G29" s="17">
        <f>36+40+44+27+62</f>
        <v>209</v>
      </c>
      <c r="H29" s="148">
        <v>22</v>
      </c>
      <c r="I29" s="151">
        <v>22</v>
      </c>
      <c r="J29" s="150">
        <f t="shared" si="8"/>
        <v>44</v>
      </c>
      <c r="K29" s="148">
        <v>11</v>
      </c>
      <c r="L29" s="149">
        <v>0</v>
      </c>
      <c r="M29" s="149">
        <v>0</v>
      </c>
      <c r="N29" s="149">
        <v>0</v>
      </c>
      <c r="O29" s="149">
        <v>0</v>
      </c>
      <c r="P29" s="149">
        <v>1</v>
      </c>
      <c r="Q29" s="150">
        <v>2</v>
      </c>
      <c r="R29" s="148">
        <v>10</v>
      </c>
      <c r="S29" s="151">
        <v>21</v>
      </c>
      <c r="T29" s="178">
        <v>0</v>
      </c>
      <c r="U29" s="31">
        <f t="shared" si="7"/>
        <v>31</v>
      </c>
      <c r="V29" s="28">
        <f>G29/R29</f>
        <v>20.9</v>
      </c>
      <c r="W29" s="29">
        <f>2106.8/G29</f>
        <v>10.080382775119618</v>
      </c>
      <c r="X29" s="20">
        <v>47</v>
      </c>
      <c r="Y29" s="18">
        <v>51.915999999999997</v>
      </c>
      <c r="Z29" s="21">
        <v>55</v>
      </c>
      <c r="AA29" s="22">
        <v>10</v>
      </c>
      <c r="AB29" s="113"/>
      <c r="AC29" s="200" t="s">
        <v>70</v>
      </c>
      <c r="AF29" s="51"/>
      <c r="AG29" s="52"/>
      <c r="AH29" s="51"/>
    </row>
    <row r="30" spans="1:34" ht="21" customHeight="1" x14ac:dyDescent="0.3">
      <c r="A30" s="112">
        <v>28</v>
      </c>
      <c r="B30" s="27">
        <v>2006</v>
      </c>
      <c r="C30" s="27" t="s">
        <v>27</v>
      </c>
      <c r="D30" s="27" t="s">
        <v>55</v>
      </c>
      <c r="E30" s="27" t="s">
        <v>41</v>
      </c>
      <c r="F30" s="134">
        <f>39*5</f>
        <v>195</v>
      </c>
      <c r="G30" s="24">
        <f>42+41+48+41+49</f>
        <v>221</v>
      </c>
      <c r="H30" s="148">
        <v>29</v>
      </c>
      <c r="I30" s="151">
        <v>14</v>
      </c>
      <c r="J30" s="150">
        <f t="shared" si="8"/>
        <v>43</v>
      </c>
      <c r="K30" s="148">
        <v>0</v>
      </c>
      <c r="L30" s="149">
        <v>0</v>
      </c>
      <c r="M30" s="149">
        <v>0</v>
      </c>
      <c r="N30" s="149">
        <v>0</v>
      </c>
      <c r="O30" s="149">
        <v>0</v>
      </c>
      <c r="P30" s="149">
        <v>0</v>
      </c>
      <c r="Q30" s="150">
        <v>0</v>
      </c>
      <c r="R30" s="148">
        <v>6</v>
      </c>
      <c r="S30" s="151">
        <v>36</v>
      </c>
      <c r="T30" s="178">
        <v>0</v>
      </c>
      <c r="U30" s="31">
        <f t="shared" si="7"/>
        <v>42</v>
      </c>
      <c r="V30" s="28">
        <f>G30/R30</f>
        <v>36.833333333333336</v>
      </c>
      <c r="W30" s="29">
        <f>1837/G30</f>
        <v>8.3122171945701364</v>
      </c>
      <c r="X30" s="20">
        <v>54</v>
      </c>
      <c r="Y30" s="30">
        <v>46.2</v>
      </c>
      <c r="Z30" s="25">
        <v>29</v>
      </c>
      <c r="AA30" s="23">
        <v>5</v>
      </c>
      <c r="AB30" s="113"/>
      <c r="AC30" s="190" t="s">
        <v>104</v>
      </c>
    </row>
    <row r="31" spans="1:34" ht="21" customHeight="1" x14ac:dyDescent="0.3">
      <c r="A31" s="112">
        <v>29</v>
      </c>
      <c r="B31" s="27">
        <v>2002</v>
      </c>
      <c r="C31" s="27" t="s">
        <v>0</v>
      </c>
      <c r="D31" s="27" t="s">
        <v>1</v>
      </c>
      <c r="E31" s="27" t="s">
        <v>2</v>
      </c>
      <c r="F31" s="26">
        <f>45+55+55+53+56</f>
        <v>264</v>
      </c>
      <c r="G31" s="24">
        <f>83+46+45+43+76</f>
        <v>293</v>
      </c>
      <c r="H31" s="148">
        <f>27+4</f>
        <v>31</v>
      </c>
      <c r="I31" s="149">
        <v>32</v>
      </c>
      <c r="J31" s="150">
        <f t="shared" si="8"/>
        <v>63</v>
      </c>
      <c r="K31" s="148">
        <v>9</v>
      </c>
      <c r="L31" s="149">
        <v>1</v>
      </c>
      <c r="M31" s="149">
        <v>1</v>
      </c>
      <c r="N31" s="149">
        <v>2</v>
      </c>
      <c r="O31" s="149">
        <v>1</v>
      </c>
      <c r="P31" s="149">
        <v>3</v>
      </c>
      <c r="Q31" s="150">
        <v>46</v>
      </c>
      <c r="R31" s="148">
        <v>12</v>
      </c>
      <c r="S31" s="149">
        <v>17</v>
      </c>
      <c r="T31" s="177">
        <v>0</v>
      </c>
      <c r="U31" s="31">
        <f t="shared" si="7"/>
        <v>29</v>
      </c>
      <c r="V31" s="63">
        <f>G31/R31</f>
        <v>24.416666666666668</v>
      </c>
      <c r="W31" s="29">
        <f>2159.4/G31</f>
        <v>7.3699658703071673</v>
      </c>
      <c r="X31" s="20">
        <v>52</v>
      </c>
      <c r="Y31" s="18">
        <v>67.61</v>
      </c>
      <c r="Z31" s="21">
        <v>20</v>
      </c>
      <c r="AA31" s="22">
        <v>4</v>
      </c>
      <c r="AB31" s="113"/>
      <c r="AC31" s="188"/>
    </row>
    <row r="32" spans="1:34" ht="21" customHeight="1" x14ac:dyDescent="0.3">
      <c r="A32" s="112">
        <v>30</v>
      </c>
      <c r="B32" s="27">
        <v>2002</v>
      </c>
      <c r="C32" s="27" t="s">
        <v>0</v>
      </c>
      <c r="D32" s="27" t="s">
        <v>1</v>
      </c>
      <c r="E32" s="27" t="s">
        <v>30</v>
      </c>
      <c r="F32" s="26">
        <v>51</v>
      </c>
      <c r="G32" s="24">
        <f>55+51+32+32+27</f>
        <v>197</v>
      </c>
      <c r="H32" s="148">
        <v>43</v>
      </c>
      <c r="I32" s="149">
        <v>12</v>
      </c>
      <c r="J32" s="150">
        <f t="shared" si="8"/>
        <v>55</v>
      </c>
      <c r="K32" s="148">
        <v>6</v>
      </c>
      <c r="L32" s="149">
        <v>5</v>
      </c>
      <c r="M32" s="149">
        <v>0</v>
      </c>
      <c r="N32" s="149">
        <v>1</v>
      </c>
      <c r="O32" s="149">
        <v>0</v>
      </c>
      <c r="P32" s="149">
        <v>8</v>
      </c>
      <c r="Q32" s="150">
        <v>37</v>
      </c>
      <c r="R32" s="148">
        <v>1</v>
      </c>
      <c r="S32" s="149">
        <v>37</v>
      </c>
      <c r="T32" s="177">
        <v>0</v>
      </c>
      <c r="U32" s="31">
        <f t="shared" si="7"/>
        <v>38</v>
      </c>
      <c r="V32" s="28">
        <f>G32/R32</f>
        <v>197</v>
      </c>
      <c r="W32" s="29">
        <f>(247.65+247.65+149.27+97.79+119)*2/G32</f>
        <v>8.7447715736040603</v>
      </c>
      <c r="X32" s="20">
        <v>48</v>
      </c>
      <c r="Y32" s="17">
        <v>44.68</v>
      </c>
      <c r="Z32" s="21">
        <v>5</v>
      </c>
      <c r="AA32" s="22">
        <v>0</v>
      </c>
      <c r="AB32" s="113"/>
      <c r="AC32" s="188"/>
    </row>
    <row r="33" spans="1:34" ht="21" customHeight="1" x14ac:dyDescent="0.3">
      <c r="A33" s="112">
        <v>31</v>
      </c>
      <c r="B33" s="27">
        <v>2002</v>
      </c>
      <c r="C33" s="27" t="s">
        <v>6</v>
      </c>
      <c r="D33" s="27" t="s">
        <v>7</v>
      </c>
      <c r="E33" s="27" t="s">
        <v>2</v>
      </c>
      <c r="F33" s="134">
        <f>38</f>
        <v>38</v>
      </c>
      <c r="G33" s="24">
        <f>42+32+47+31+62</f>
        <v>214</v>
      </c>
      <c r="H33" s="148">
        <v>22</v>
      </c>
      <c r="I33" s="151">
        <v>18</v>
      </c>
      <c r="J33" s="150">
        <f t="shared" si="8"/>
        <v>40</v>
      </c>
      <c r="K33" s="148">
        <v>20</v>
      </c>
      <c r="L33" s="149">
        <v>0</v>
      </c>
      <c r="M33" s="149">
        <v>1</v>
      </c>
      <c r="N33" s="149">
        <v>1</v>
      </c>
      <c r="O33" s="149">
        <v>0</v>
      </c>
      <c r="P33" s="149">
        <v>0</v>
      </c>
      <c r="Q33" s="150">
        <v>18</v>
      </c>
      <c r="R33" s="148">
        <v>15</v>
      </c>
      <c r="S33" s="151">
        <v>13</v>
      </c>
      <c r="T33" s="178">
        <v>11</v>
      </c>
      <c r="U33" s="31">
        <f t="shared" si="7"/>
        <v>39</v>
      </c>
      <c r="V33" s="28">
        <f>G33/R33</f>
        <v>14.266666666666667</v>
      </c>
      <c r="W33" s="29">
        <f>2299.85/F33</f>
        <v>60.522368421052626</v>
      </c>
      <c r="X33" s="20">
        <v>52</v>
      </c>
      <c r="Y33" s="18">
        <v>57.4</v>
      </c>
      <c r="Z33" s="21">
        <v>81</v>
      </c>
      <c r="AA33" s="22">
        <v>5</v>
      </c>
      <c r="AB33" s="113"/>
      <c r="AC33" s="188"/>
    </row>
    <row r="34" spans="1:34" ht="21" customHeight="1" x14ac:dyDescent="0.3">
      <c r="A34" s="112">
        <v>32</v>
      </c>
      <c r="B34" s="15">
        <v>2002</v>
      </c>
      <c r="C34" s="15" t="s">
        <v>27</v>
      </c>
      <c r="D34" s="15" t="s">
        <v>28</v>
      </c>
      <c r="E34" s="15" t="s">
        <v>45</v>
      </c>
      <c r="F34" s="16">
        <f>28.5+28.5+29+29+29</f>
        <v>144</v>
      </c>
      <c r="G34" s="17">
        <f>54+45+24+28+39</f>
        <v>190</v>
      </c>
      <c r="H34" s="145">
        <v>19</v>
      </c>
      <c r="I34" s="146">
        <v>12</v>
      </c>
      <c r="J34" s="147">
        <f t="shared" si="8"/>
        <v>31</v>
      </c>
      <c r="K34" s="145">
        <v>8</v>
      </c>
      <c r="L34" s="146">
        <v>1</v>
      </c>
      <c r="M34" s="146">
        <v>0</v>
      </c>
      <c r="N34" s="146">
        <v>0</v>
      </c>
      <c r="O34" s="146">
        <v>0</v>
      </c>
      <c r="P34" s="146">
        <v>1</v>
      </c>
      <c r="Q34" s="147">
        <v>21</v>
      </c>
      <c r="R34" s="145">
        <v>6</v>
      </c>
      <c r="S34" s="146">
        <v>32</v>
      </c>
      <c r="T34" s="176">
        <v>4</v>
      </c>
      <c r="U34" s="31">
        <f t="shared" si="7"/>
        <v>42</v>
      </c>
      <c r="V34" s="18">
        <f>G34/R34</f>
        <v>31.666666666666668</v>
      </c>
      <c r="W34" s="19">
        <f>1751.2/G34</f>
        <v>9.2168421052631579</v>
      </c>
      <c r="X34" s="20">
        <v>48</v>
      </c>
      <c r="Y34" s="30">
        <v>60.8</v>
      </c>
      <c r="Z34" s="21">
        <v>25</v>
      </c>
      <c r="AA34" s="22">
        <v>4</v>
      </c>
      <c r="AB34" s="113"/>
      <c r="AC34" s="190" t="s">
        <v>106</v>
      </c>
    </row>
    <row r="35" spans="1:34" ht="21" customHeight="1" x14ac:dyDescent="0.3">
      <c r="A35" s="112">
        <v>33</v>
      </c>
      <c r="B35" s="27">
        <v>2003</v>
      </c>
      <c r="C35" s="27" t="s">
        <v>3</v>
      </c>
      <c r="D35" s="27" t="s">
        <v>1</v>
      </c>
      <c r="E35" s="27" t="s">
        <v>41</v>
      </c>
      <c r="F35" s="134">
        <f>40+44+41+45+46</f>
        <v>216</v>
      </c>
      <c r="G35" s="24">
        <f>39+45+37+57+59</f>
        <v>237</v>
      </c>
      <c r="H35" s="148">
        <v>22</v>
      </c>
      <c r="I35" s="151">
        <v>24</v>
      </c>
      <c r="J35" s="150">
        <f t="shared" si="8"/>
        <v>46</v>
      </c>
      <c r="K35" s="148">
        <v>5</v>
      </c>
      <c r="L35" s="149">
        <v>3</v>
      </c>
      <c r="M35" s="149">
        <v>1</v>
      </c>
      <c r="N35" s="149">
        <v>2</v>
      </c>
      <c r="O35" s="149">
        <v>0</v>
      </c>
      <c r="P35" s="149">
        <v>3</v>
      </c>
      <c r="Q35" s="150">
        <v>29</v>
      </c>
      <c r="R35" s="148">
        <v>9</v>
      </c>
      <c r="S35" s="151">
        <v>42</v>
      </c>
      <c r="T35" s="178">
        <v>0</v>
      </c>
      <c r="U35" s="31">
        <f t="shared" si="7"/>
        <v>51</v>
      </c>
      <c r="V35" s="28">
        <f>G35/R35</f>
        <v>26.333333333333332</v>
      </c>
      <c r="W35" s="29">
        <f>3407.46/G35</f>
        <v>14.377468354430381</v>
      </c>
      <c r="X35" s="14">
        <v>54</v>
      </c>
      <c r="Y35" s="18">
        <v>70.599999999999994</v>
      </c>
      <c r="Z35" s="25">
        <v>2</v>
      </c>
      <c r="AA35" s="23">
        <v>2</v>
      </c>
      <c r="AB35" s="113"/>
      <c r="AC35" s="188"/>
    </row>
    <row r="36" spans="1:34" ht="21" customHeight="1" x14ac:dyDescent="0.3">
      <c r="A36" s="112">
        <v>34</v>
      </c>
      <c r="B36" s="34">
        <v>2002</v>
      </c>
      <c r="C36" s="34" t="s">
        <v>23</v>
      </c>
      <c r="D36" s="34" t="s">
        <v>26</v>
      </c>
      <c r="E36" s="32" t="s">
        <v>79</v>
      </c>
      <c r="F36" s="16">
        <f>24+50+50+102+102</f>
        <v>328</v>
      </c>
      <c r="G36" s="17">
        <f>47+58+45+50+77</f>
        <v>277</v>
      </c>
      <c r="H36" s="148">
        <v>24</v>
      </c>
      <c r="I36" s="146">
        <v>24</v>
      </c>
      <c r="J36" s="150">
        <f>SUM(H36:I36)</f>
        <v>48</v>
      </c>
      <c r="K36" s="145">
        <v>21</v>
      </c>
      <c r="L36" s="146">
        <v>0</v>
      </c>
      <c r="M36" s="146">
        <v>1</v>
      </c>
      <c r="N36" s="146">
        <v>1</v>
      </c>
      <c r="O36" s="146">
        <v>2</v>
      </c>
      <c r="P36" s="146">
        <v>3</v>
      </c>
      <c r="Q36" s="147">
        <v>20</v>
      </c>
      <c r="R36" s="145">
        <v>10</v>
      </c>
      <c r="S36" s="146">
        <v>28</v>
      </c>
      <c r="T36" s="176">
        <v>0</v>
      </c>
      <c r="U36" s="31">
        <f t="shared" si="7"/>
        <v>38</v>
      </c>
      <c r="V36" s="18">
        <f>G36/R36</f>
        <v>27.7</v>
      </c>
      <c r="W36" s="19">
        <f>(173.5+173.5+138.8+138.8+174.9+174.9+173.2+173.2)/G36</f>
        <v>4.7682310469314082</v>
      </c>
      <c r="X36" s="14">
        <v>60</v>
      </c>
      <c r="Y36" s="18">
        <v>46</v>
      </c>
      <c r="Z36" s="21">
        <v>134</v>
      </c>
      <c r="AA36" s="22">
        <v>5</v>
      </c>
      <c r="AB36" s="113"/>
      <c r="AC36" s="190" t="s">
        <v>82</v>
      </c>
    </row>
    <row r="37" spans="1:34" ht="21" customHeight="1" x14ac:dyDescent="0.3">
      <c r="A37" s="112">
        <v>35</v>
      </c>
      <c r="B37" s="15">
        <v>2002</v>
      </c>
      <c r="C37" s="15" t="s">
        <v>31</v>
      </c>
      <c r="D37" s="15" t="s">
        <v>28</v>
      </c>
      <c r="E37" s="15" t="s">
        <v>41</v>
      </c>
      <c r="F37" s="16">
        <f>30+30+29+28+30</f>
        <v>147</v>
      </c>
      <c r="G37" s="17">
        <f>25+22+24+28+32</f>
        <v>131</v>
      </c>
      <c r="H37" s="145">
        <v>18</v>
      </c>
      <c r="I37" s="146">
        <v>6</v>
      </c>
      <c r="J37" s="147">
        <f t="shared" ref="J37:J66" si="9">SUM(H37:I37)</f>
        <v>24</v>
      </c>
      <c r="K37" s="145">
        <v>16</v>
      </c>
      <c r="L37" s="146">
        <v>1</v>
      </c>
      <c r="M37" s="146">
        <v>0</v>
      </c>
      <c r="N37" s="146">
        <v>0</v>
      </c>
      <c r="O37" s="146">
        <v>0</v>
      </c>
      <c r="P37" s="146">
        <v>1</v>
      </c>
      <c r="Q37" s="147">
        <v>6</v>
      </c>
      <c r="R37" s="145">
        <v>7</v>
      </c>
      <c r="S37" s="146">
        <v>13</v>
      </c>
      <c r="T37" s="176">
        <v>0</v>
      </c>
      <c r="U37" s="31">
        <f t="shared" si="7"/>
        <v>20</v>
      </c>
      <c r="V37" s="18">
        <f>G37/R37</f>
        <v>18.714285714285715</v>
      </c>
      <c r="W37" s="19">
        <f>(194.4+194.4+175.4+175.4+105.3+105.3+194.4+129.6+194.4+194.4)/G37</f>
        <v>12.694656488549619</v>
      </c>
      <c r="X37" s="20">
        <v>50</v>
      </c>
      <c r="Y37" s="18">
        <v>58.5</v>
      </c>
      <c r="Z37" s="21">
        <v>8</v>
      </c>
      <c r="AA37" s="22">
        <v>4</v>
      </c>
      <c r="AB37" s="113"/>
      <c r="AC37" s="191"/>
    </row>
    <row r="38" spans="1:34" ht="21" customHeight="1" x14ac:dyDescent="0.3">
      <c r="A38" s="112">
        <v>36</v>
      </c>
      <c r="B38" s="34">
        <v>2003</v>
      </c>
      <c r="C38" s="34" t="s">
        <v>27</v>
      </c>
      <c r="D38" s="34" t="s">
        <v>28</v>
      </c>
      <c r="E38" s="32" t="s">
        <v>30</v>
      </c>
      <c r="F38" s="16">
        <f>60+30+30+30+30</f>
        <v>180</v>
      </c>
      <c r="G38" s="17">
        <f>67+34+49+21+33</f>
        <v>204</v>
      </c>
      <c r="H38" s="145">
        <v>13</v>
      </c>
      <c r="I38" s="146">
        <v>17</v>
      </c>
      <c r="J38" s="147">
        <f t="shared" ref="J38:J54" si="10">SUM(H38:I38)</f>
        <v>30</v>
      </c>
      <c r="K38" s="145">
        <v>9</v>
      </c>
      <c r="L38" s="146">
        <v>0</v>
      </c>
      <c r="M38" s="146">
        <v>0</v>
      </c>
      <c r="N38" s="146">
        <v>0</v>
      </c>
      <c r="O38" s="146">
        <v>0</v>
      </c>
      <c r="P38" s="146">
        <v>2</v>
      </c>
      <c r="Q38" s="147">
        <v>19</v>
      </c>
      <c r="R38" s="145">
        <v>16</v>
      </c>
      <c r="S38" s="146">
        <v>26</v>
      </c>
      <c r="T38" s="176">
        <v>0</v>
      </c>
      <c r="U38" s="31">
        <f t="shared" si="7"/>
        <v>42</v>
      </c>
      <c r="V38" s="18">
        <f>G38/R38</f>
        <v>12.75</v>
      </c>
      <c r="W38" s="19">
        <f>1443.7/G38</f>
        <v>7.0769607843137257</v>
      </c>
      <c r="X38" s="14">
        <v>54</v>
      </c>
      <c r="Y38" s="30">
        <v>54.7</v>
      </c>
      <c r="Z38" s="21">
        <v>0</v>
      </c>
      <c r="AA38" s="22">
        <v>0</v>
      </c>
      <c r="AB38" s="113"/>
      <c r="AC38" s="191"/>
      <c r="AF38" s="52"/>
      <c r="AG38" s="52"/>
      <c r="AH38" s="52"/>
    </row>
    <row r="39" spans="1:34" ht="21" customHeight="1" x14ac:dyDescent="0.3">
      <c r="A39" s="112">
        <v>37</v>
      </c>
      <c r="B39" s="15">
        <v>2003</v>
      </c>
      <c r="C39" s="15" t="s">
        <v>3</v>
      </c>
      <c r="D39" s="15" t="s">
        <v>1</v>
      </c>
      <c r="E39" s="15" t="s">
        <v>2</v>
      </c>
      <c r="F39" s="26">
        <v>73</v>
      </c>
      <c r="G39" s="17">
        <f>68+37+36+37+39</f>
        <v>217</v>
      </c>
      <c r="H39" s="145">
        <v>9</v>
      </c>
      <c r="I39" s="146">
        <v>17</v>
      </c>
      <c r="J39" s="147">
        <f t="shared" si="10"/>
        <v>26</v>
      </c>
      <c r="K39" s="145">
        <v>8</v>
      </c>
      <c r="L39" s="146">
        <v>0</v>
      </c>
      <c r="M39" s="146">
        <v>0</v>
      </c>
      <c r="N39" s="146">
        <v>1</v>
      </c>
      <c r="O39" s="146">
        <v>1</v>
      </c>
      <c r="P39" s="146">
        <v>6</v>
      </c>
      <c r="Q39" s="147">
        <v>10</v>
      </c>
      <c r="R39" s="145">
        <v>15</v>
      </c>
      <c r="S39" s="146">
        <v>29</v>
      </c>
      <c r="T39" s="176">
        <v>0</v>
      </c>
      <c r="U39" s="31">
        <f t="shared" si="7"/>
        <v>44</v>
      </c>
      <c r="V39" s="18">
        <f>G39/R39</f>
        <v>14.466666666666667</v>
      </c>
      <c r="W39" s="19">
        <f>1670/G39</f>
        <v>7.6958525345622117</v>
      </c>
      <c r="X39" s="14">
        <v>60</v>
      </c>
      <c r="Y39" s="17">
        <v>57.3</v>
      </c>
      <c r="Z39" s="21">
        <v>130</v>
      </c>
      <c r="AA39" s="22">
        <v>5</v>
      </c>
      <c r="AB39" s="113"/>
      <c r="AC39" s="190" t="s">
        <v>81</v>
      </c>
    </row>
    <row r="40" spans="1:34" ht="21" customHeight="1" x14ac:dyDescent="0.3">
      <c r="A40" s="112">
        <v>38</v>
      </c>
      <c r="B40" s="15">
        <v>2003</v>
      </c>
      <c r="C40" s="15" t="s">
        <v>3</v>
      </c>
      <c r="D40" s="15" t="s">
        <v>1</v>
      </c>
      <c r="E40" s="15" t="s">
        <v>2</v>
      </c>
      <c r="F40" s="26">
        <v>74</v>
      </c>
      <c r="G40" s="17">
        <f>74+36+27+24+52</f>
        <v>213</v>
      </c>
      <c r="H40" s="148">
        <v>19</v>
      </c>
      <c r="I40" s="149">
        <v>14</v>
      </c>
      <c r="J40" s="147">
        <f t="shared" si="10"/>
        <v>33</v>
      </c>
      <c r="K40" s="145">
        <v>0</v>
      </c>
      <c r="L40" s="146">
        <v>0</v>
      </c>
      <c r="M40" s="146">
        <v>0</v>
      </c>
      <c r="N40" s="146">
        <v>0</v>
      </c>
      <c r="O40" s="146">
        <v>0</v>
      </c>
      <c r="P40" s="146">
        <v>0</v>
      </c>
      <c r="Q40" s="147">
        <v>0</v>
      </c>
      <c r="R40" s="145">
        <v>17</v>
      </c>
      <c r="S40" s="146">
        <v>44</v>
      </c>
      <c r="T40" s="176">
        <v>0</v>
      </c>
      <c r="U40" s="31">
        <f t="shared" si="7"/>
        <v>61</v>
      </c>
      <c r="V40" s="18">
        <f>G40/R40</f>
        <v>12.529411764705882</v>
      </c>
      <c r="W40" s="19">
        <f>1708.72/G40</f>
        <v>8.0221596244131455</v>
      </c>
      <c r="X40" s="20">
        <v>48</v>
      </c>
      <c r="Y40" s="18">
        <f>5.14+6.66+7.58+6.86+8.4+6.97+3.27</f>
        <v>44.88</v>
      </c>
      <c r="Z40" s="21">
        <v>0</v>
      </c>
      <c r="AA40" s="22">
        <v>0</v>
      </c>
      <c r="AB40" s="113"/>
      <c r="AC40" s="189" t="s">
        <v>105</v>
      </c>
    </row>
    <row r="41" spans="1:34" ht="21" customHeight="1" x14ac:dyDescent="0.3">
      <c r="A41" s="112">
        <v>39</v>
      </c>
      <c r="B41" s="15">
        <v>2002</v>
      </c>
      <c r="C41" s="15" t="s">
        <v>3</v>
      </c>
      <c r="D41" s="15" t="s">
        <v>52</v>
      </c>
      <c r="E41" s="15" t="s">
        <v>74</v>
      </c>
      <c r="F41" s="16">
        <f>138/3+40+40+40+40</f>
        <v>206</v>
      </c>
      <c r="G41" s="17">
        <f>134+60+35+59+36</f>
        <v>324</v>
      </c>
      <c r="H41" s="145">
        <v>12</v>
      </c>
      <c r="I41" s="146">
        <v>21</v>
      </c>
      <c r="J41" s="147">
        <f t="shared" si="10"/>
        <v>33</v>
      </c>
      <c r="K41" s="145">
        <v>21</v>
      </c>
      <c r="L41" s="146">
        <v>0</v>
      </c>
      <c r="M41" s="146">
        <v>0</v>
      </c>
      <c r="N41" s="146">
        <v>1</v>
      </c>
      <c r="O41" s="146">
        <v>0</v>
      </c>
      <c r="P41" s="146">
        <v>0</v>
      </c>
      <c r="Q41" s="147">
        <v>0</v>
      </c>
      <c r="R41" s="145">
        <v>16</v>
      </c>
      <c r="S41" s="146">
        <v>29</v>
      </c>
      <c r="T41" s="176">
        <v>0</v>
      </c>
      <c r="U41" s="31">
        <f t="shared" si="7"/>
        <v>45</v>
      </c>
      <c r="V41" s="18">
        <f>G41/R41</f>
        <v>20.25</v>
      </c>
      <c r="W41" s="19">
        <f>(178+178+229+229+230+230+229+229+215+215)/G41</f>
        <v>6.6728395061728394</v>
      </c>
      <c r="X41" s="14">
        <v>52</v>
      </c>
      <c r="Y41" s="18">
        <v>41.82</v>
      </c>
      <c r="Z41" s="25">
        <v>0</v>
      </c>
      <c r="AA41" s="23">
        <v>0</v>
      </c>
      <c r="AB41" s="113"/>
      <c r="AC41" s="189" t="s">
        <v>87</v>
      </c>
    </row>
    <row r="42" spans="1:34" ht="21" customHeight="1" x14ac:dyDescent="0.3">
      <c r="A42" s="112">
        <v>40</v>
      </c>
      <c r="B42" s="9">
        <v>2002</v>
      </c>
      <c r="C42" s="9" t="s">
        <v>3</v>
      </c>
      <c r="D42" s="9" t="s">
        <v>46</v>
      </c>
      <c r="E42" s="9" t="s">
        <v>47</v>
      </c>
      <c r="F42" s="133">
        <f>40*5</f>
        <v>200</v>
      </c>
      <c r="G42" s="10">
        <f>75+49+51+36+51</f>
        <v>262</v>
      </c>
      <c r="H42" s="142">
        <v>16</v>
      </c>
      <c r="I42" s="143">
        <v>18</v>
      </c>
      <c r="J42" s="144">
        <f t="shared" si="10"/>
        <v>34</v>
      </c>
      <c r="K42" s="142">
        <v>24</v>
      </c>
      <c r="L42" s="143">
        <v>1</v>
      </c>
      <c r="M42" s="143">
        <v>1</v>
      </c>
      <c r="N42" s="143">
        <v>0</v>
      </c>
      <c r="O42" s="143">
        <v>0</v>
      </c>
      <c r="P42" s="143">
        <v>0</v>
      </c>
      <c r="Q42" s="144">
        <v>20</v>
      </c>
      <c r="R42" s="142">
        <v>6</v>
      </c>
      <c r="S42" s="143">
        <v>28</v>
      </c>
      <c r="T42" s="175">
        <v>0</v>
      </c>
      <c r="U42" s="31">
        <f t="shared" si="7"/>
        <v>34</v>
      </c>
      <c r="V42" s="11">
        <f>G42/R42</f>
        <v>43.666666666666664</v>
      </c>
      <c r="W42" s="64">
        <f>1934.8/G42</f>
        <v>7.3847328244274806</v>
      </c>
      <c r="X42" s="14">
        <f>16+36</f>
        <v>52</v>
      </c>
      <c r="Y42" s="11">
        <v>50.96</v>
      </c>
      <c r="Z42" s="65">
        <v>8</v>
      </c>
      <c r="AA42" s="66">
        <v>5</v>
      </c>
      <c r="AB42" s="113"/>
      <c r="AC42" s="189" t="s">
        <v>87</v>
      </c>
    </row>
    <row r="43" spans="1:34" ht="21" customHeight="1" x14ac:dyDescent="0.3">
      <c r="A43" s="112">
        <v>41</v>
      </c>
      <c r="B43" s="27">
        <v>2002</v>
      </c>
      <c r="C43" s="27" t="s">
        <v>27</v>
      </c>
      <c r="D43" s="27" t="s">
        <v>28</v>
      </c>
      <c r="E43" s="27" t="s">
        <v>41</v>
      </c>
      <c r="F43" s="134">
        <f>37*5</f>
        <v>185</v>
      </c>
      <c r="G43" s="24">
        <f>41+36+38+48+37</f>
        <v>200</v>
      </c>
      <c r="H43" s="148">
        <v>27</v>
      </c>
      <c r="I43" s="151">
        <v>15</v>
      </c>
      <c r="J43" s="150">
        <f t="shared" si="10"/>
        <v>42</v>
      </c>
      <c r="K43" s="148">
        <v>16</v>
      </c>
      <c r="L43" s="143">
        <v>0</v>
      </c>
      <c r="M43" s="143">
        <v>0</v>
      </c>
      <c r="N43" s="143">
        <v>0</v>
      </c>
      <c r="O43" s="143">
        <v>0</v>
      </c>
      <c r="P43" s="143">
        <v>0</v>
      </c>
      <c r="Q43" s="150">
        <v>26</v>
      </c>
      <c r="R43" s="148">
        <v>4</v>
      </c>
      <c r="S43" s="151">
        <v>14</v>
      </c>
      <c r="T43" s="178">
        <v>0</v>
      </c>
      <c r="U43" s="31">
        <f t="shared" si="7"/>
        <v>18</v>
      </c>
      <c r="V43" s="28">
        <f>G43/R43</f>
        <v>50</v>
      </c>
      <c r="W43" s="29">
        <f>(90+150+190+190+184+184+192+192+272+272)/G43</f>
        <v>9.58</v>
      </c>
      <c r="X43" s="20">
        <v>51</v>
      </c>
      <c r="Y43" s="18">
        <v>47</v>
      </c>
      <c r="Z43" s="21">
        <v>17</v>
      </c>
      <c r="AA43" s="22">
        <v>1</v>
      </c>
      <c r="AB43" s="113"/>
      <c r="AC43" s="188"/>
    </row>
    <row r="44" spans="1:34" ht="21" customHeight="1" x14ac:dyDescent="0.3">
      <c r="A44" s="112">
        <v>42</v>
      </c>
      <c r="B44" s="36">
        <v>2003</v>
      </c>
      <c r="C44" s="36" t="s">
        <v>3</v>
      </c>
      <c r="D44" s="36" t="s">
        <v>1</v>
      </c>
      <c r="E44" s="36" t="s">
        <v>2</v>
      </c>
      <c r="F44" s="135" t="s">
        <v>83</v>
      </c>
      <c r="G44" s="41">
        <f>37+36+31+30+45</f>
        <v>179</v>
      </c>
      <c r="H44" s="152">
        <v>0</v>
      </c>
      <c r="I44" s="153">
        <v>29</v>
      </c>
      <c r="J44" s="150">
        <f t="shared" si="10"/>
        <v>29</v>
      </c>
      <c r="K44" s="152">
        <v>10</v>
      </c>
      <c r="L44" s="171">
        <v>0</v>
      </c>
      <c r="M44" s="171">
        <v>0</v>
      </c>
      <c r="N44" s="171">
        <v>0</v>
      </c>
      <c r="O44" s="171">
        <v>0</v>
      </c>
      <c r="P44" s="171">
        <v>1</v>
      </c>
      <c r="Q44" s="157">
        <v>6</v>
      </c>
      <c r="R44" s="152">
        <v>9</v>
      </c>
      <c r="S44" s="153">
        <v>25</v>
      </c>
      <c r="T44" s="179">
        <v>0</v>
      </c>
      <c r="U44" s="31">
        <f t="shared" si="7"/>
        <v>34</v>
      </c>
      <c r="V44" s="28">
        <f>G44/R44</f>
        <v>19.888888888888889</v>
      </c>
      <c r="W44" s="67">
        <f>(139.28+153.53+168.33+137.56+147.14+168.33+148.33+140.5+140.5+69.64)/G44</f>
        <v>7.8946368715083803</v>
      </c>
      <c r="X44" s="20">
        <v>51</v>
      </c>
      <c r="Y44" s="68">
        <f>1.317+2.7+2.842+4.629+6+6.48+7.714+4.32+5.062+3.086</f>
        <v>44.15</v>
      </c>
      <c r="Z44" s="25">
        <v>21</v>
      </c>
      <c r="AA44" s="23">
        <v>3</v>
      </c>
      <c r="AB44" s="113"/>
      <c r="AC44" s="191"/>
    </row>
    <row r="45" spans="1:34" ht="21" customHeight="1" x14ac:dyDescent="0.3">
      <c r="A45" s="112">
        <v>43</v>
      </c>
      <c r="B45" s="38">
        <v>2002</v>
      </c>
      <c r="C45" s="38" t="s">
        <v>27</v>
      </c>
      <c r="D45" s="15" t="s">
        <v>28</v>
      </c>
      <c r="E45" s="38" t="s">
        <v>30</v>
      </c>
      <c r="F45" s="37">
        <f>82/2+42+44+44+44</f>
        <v>215</v>
      </c>
      <c r="G45" s="70">
        <f>46+42+29+34+64</f>
        <v>215</v>
      </c>
      <c r="H45" s="154">
        <v>27</v>
      </c>
      <c r="I45" s="155">
        <v>23</v>
      </c>
      <c r="J45" s="156">
        <f t="shared" si="10"/>
        <v>50</v>
      </c>
      <c r="K45" s="154">
        <v>23</v>
      </c>
      <c r="L45" s="155">
        <v>1</v>
      </c>
      <c r="M45" s="155">
        <v>0</v>
      </c>
      <c r="N45" s="155">
        <v>0</v>
      </c>
      <c r="O45" s="155">
        <v>0</v>
      </c>
      <c r="P45" s="155">
        <v>11</v>
      </c>
      <c r="Q45" s="156">
        <v>15</v>
      </c>
      <c r="R45" s="154">
        <v>11</v>
      </c>
      <c r="S45" s="155">
        <v>30</v>
      </c>
      <c r="T45" s="180">
        <v>0</v>
      </c>
      <c r="U45" s="31">
        <f t="shared" si="7"/>
        <v>41</v>
      </c>
      <c r="V45" s="18">
        <f>G45/R45</f>
        <v>19.545454545454547</v>
      </c>
      <c r="W45" s="71">
        <f>2043.36/G45</f>
        <v>9.5039999999999996</v>
      </c>
      <c r="X45" s="20">
        <v>51</v>
      </c>
      <c r="Y45" s="30">
        <v>62.3</v>
      </c>
      <c r="Z45" s="21">
        <v>40</v>
      </c>
      <c r="AA45" s="22">
        <v>3</v>
      </c>
      <c r="AB45" s="113"/>
      <c r="AC45" s="189" t="s">
        <v>86</v>
      </c>
    </row>
    <row r="46" spans="1:34" ht="21" customHeight="1" x14ac:dyDescent="0.3">
      <c r="A46" s="112">
        <v>44</v>
      </c>
      <c r="B46" s="38">
        <v>2002</v>
      </c>
      <c r="C46" s="38" t="s">
        <v>0</v>
      </c>
      <c r="D46" s="38" t="s">
        <v>1</v>
      </c>
      <c r="E46" s="38" t="s">
        <v>48</v>
      </c>
      <c r="F46" s="39">
        <v>48</v>
      </c>
      <c r="G46" s="70">
        <f>29+23+36+31+52</f>
        <v>171</v>
      </c>
      <c r="H46" s="154">
        <v>34</v>
      </c>
      <c r="I46" s="155">
        <v>25</v>
      </c>
      <c r="J46" s="156">
        <f t="shared" si="10"/>
        <v>59</v>
      </c>
      <c r="K46" s="154">
        <v>19</v>
      </c>
      <c r="L46" s="155">
        <v>0</v>
      </c>
      <c r="M46" s="155">
        <v>0</v>
      </c>
      <c r="N46" s="155">
        <v>1</v>
      </c>
      <c r="O46" s="155">
        <v>0</v>
      </c>
      <c r="P46" s="155">
        <v>6</v>
      </c>
      <c r="Q46" s="156">
        <v>33</v>
      </c>
      <c r="R46" s="154">
        <v>16</v>
      </c>
      <c r="S46" s="155">
        <v>25</v>
      </c>
      <c r="T46" s="180">
        <v>0</v>
      </c>
      <c r="U46" s="31">
        <f t="shared" si="7"/>
        <v>41</v>
      </c>
      <c r="V46" s="18">
        <f>G46/R46</f>
        <v>10.6875</v>
      </c>
      <c r="W46" s="71">
        <f>1696.6/G46</f>
        <v>9.9216374269005847</v>
      </c>
      <c r="X46" s="48">
        <v>52</v>
      </c>
      <c r="Y46" s="68">
        <v>56.7</v>
      </c>
      <c r="Z46" s="72">
        <v>51</v>
      </c>
      <c r="AA46" s="73">
        <v>11</v>
      </c>
      <c r="AB46" s="113"/>
      <c r="AC46" s="191"/>
    </row>
    <row r="47" spans="1:34" ht="21" customHeight="1" x14ac:dyDescent="0.3">
      <c r="A47" s="112">
        <v>45</v>
      </c>
      <c r="B47" s="38">
        <v>2002</v>
      </c>
      <c r="C47" s="38" t="s">
        <v>73</v>
      </c>
      <c r="D47" s="38" t="s">
        <v>28</v>
      </c>
      <c r="E47" s="38" t="s">
        <v>41</v>
      </c>
      <c r="F47" s="39">
        <f>40*5</f>
        <v>200</v>
      </c>
      <c r="G47" s="70">
        <f>45+67+65+35+44</f>
        <v>256</v>
      </c>
      <c r="H47" s="154">
        <v>15</v>
      </c>
      <c r="I47" s="155">
        <v>15</v>
      </c>
      <c r="J47" s="156">
        <v>30</v>
      </c>
      <c r="K47" s="154">
        <v>11</v>
      </c>
      <c r="L47" s="155">
        <v>0</v>
      </c>
      <c r="M47" s="155">
        <v>0</v>
      </c>
      <c r="N47" s="155">
        <v>0</v>
      </c>
      <c r="O47" s="155">
        <v>0</v>
      </c>
      <c r="P47" s="155">
        <v>2</v>
      </c>
      <c r="Q47" s="156">
        <v>17</v>
      </c>
      <c r="R47" s="154">
        <v>6</v>
      </c>
      <c r="S47" s="155">
        <v>15</v>
      </c>
      <c r="T47" s="180">
        <v>0</v>
      </c>
      <c r="U47" s="31">
        <f t="shared" si="7"/>
        <v>21</v>
      </c>
      <c r="V47" s="18">
        <f>G47/R47</f>
        <v>42.666666666666664</v>
      </c>
      <c r="W47" s="71">
        <f>(174.6+174.6+170.3+170.3+143.7+181.9+181.9+143.7+256.3)/G47</f>
        <v>6.2394531249999998</v>
      </c>
      <c r="X47" s="69">
        <v>54</v>
      </c>
      <c r="Y47" s="45">
        <v>4.54</v>
      </c>
      <c r="Z47" s="72">
        <v>17</v>
      </c>
      <c r="AA47" s="73">
        <v>6</v>
      </c>
      <c r="AB47" s="113"/>
      <c r="AC47" s="190"/>
    </row>
    <row r="48" spans="1:34" ht="21" customHeight="1" x14ac:dyDescent="0.3">
      <c r="A48" s="112">
        <v>46</v>
      </c>
      <c r="B48" s="38">
        <v>2003</v>
      </c>
      <c r="C48" s="38" t="s">
        <v>0</v>
      </c>
      <c r="D48" s="38" t="s">
        <v>1</v>
      </c>
      <c r="E48" s="38" t="s">
        <v>41</v>
      </c>
      <c r="F48" s="39">
        <f>20*5</f>
        <v>100</v>
      </c>
      <c r="G48" s="70">
        <f>17+23+28+19+17</f>
        <v>104</v>
      </c>
      <c r="H48" s="154">
        <v>8</v>
      </c>
      <c r="I48" s="155">
        <v>7</v>
      </c>
      <c r="J48" s="156">
        <f t="shared" ref="J48:J64" si="11">SUM(H48:I48)</f>
        <v>15</v>
      </c>
      <c r="K48" s="154">
        <v>5</v>
      </c>
      <c r="L48" s="155">
        <v>0</v>
      </c>
      <c r="M48" s="155">
        <v>1</v>
      </c>
      <c r="N48" s="155">
        <v>0</v>
      </c>
      <c r="O48" s="155">
        <v>0</v>
      </c>
      <c r="P48" s="155">
        <v>0</v>
      </c>
      <c r="Q48" s="156">
        <v>9</v>
      </c>
      <c r="R48" s="154">
        <v>5</v>
      </c>
      <c r="S48" s="155">
        <v>27</v>
      </c>
      <c r="T48" s="180">
        <v>0</v>
      </c>
      <c r="U48" s="31">
        <f t="shared" si="7"/>
        <v>32</v>
      </c>
      <c r="V48" s="18">
        <f>G48/R48</f>
        <v>20.8</v>
      </c>
      <c r="W48" s="71">
        <f>(65.34+65.34+65.34+65.34+83.16+83.16+83.16+83.16+65.34+65.34+65.34+65.34)/G48</f>
        <v>8.2246153846153849</v>
      </c>
      <c r="X48" s="48">
        <v>56</v>
      </c>
      <c r="Y48" s="68">
        <f>3.85+4.45+5.14+5.54+6+6+6.86+10.29+10.29+10.29</f>
        <v>68.710000000000008</v>
      </c>
      <c r="Z48" s="72">
        <v>6</v>
      </c>
      <c r="AA48" s="73">
        <v>5</v>
      </c>
      <c r="AB48" s="113"/>
      <c r="AC48" s="191"/>
    </row>
    <row r="49" spans="1:34" ht="21" customHeight="1" x14ac:dyDescent="0.3">
      <c r="A49" s="112">
        <v>47</v>
      </c>
      <c r="B49" s="36">
        <v>2002</v>
      </c>
      <c r="C49" s="36" t="s">
        <v>27</v>
      </c>
      <c r="D49" s="36" t="s">
        <v>28</v>
      </c>
      <c r="E49" s="36" t="s">
        <v>41</v>
      </c>
      <c r="F49" s="135">
        <f>40*5</f>
        <v>200</v>
      </c>
      <c r="G49" s="41">
        <f>34+46+48+53+65</f>
        <v>246</v>
      </c>
      <c r="H49" s="152">
        <v>18</v>
      </c>
      <c r="I49" s="153">
        <v>21</v>
      </c>
      <c r="J49" s="157">
        <f t="shared" si="11"/>
        <v>39</v>
      </c>
      <c r="K49" s="152">
        <v>41</v>
      </c>
      <c r="L49" s="171">
        <v>0</v>
      </c>
      <c r="M49" s="171">
        <v>0</v>
      </c>
      <c r="N49" s="171">
        <v>4</v>
      </c>
      <c r="O49" s="171">
        <v>1</v>
      </c>
      <c r="P49" s="171">
        <v>0</v>
      </c>
      <c r="Q49" s="157">
        <v>3</v>
      </c>
      <c r="R49" s="152">
        <v>8</v>
      </c>
      <c r="S49" s="153">
        <v>19</v>
      </c>
      <c r="T49" s="179">
        <v>0</v>
      </c>
      <c r="U49" s="31">
        <f t="shared" si="7"/>
        <v>27</v>
      </c>
      <c r="V49" s="28">
        <f>G49/R49</f>
        <v>30.75</v>
      </c>
      <c r="W49" s="43">
        <f>(194.38+194.38+155.52+155.52+155.52+155.52+155.52+155.52+155.52+155.52)/G49</f>
        <v>6.6378861788617876</v>
      </c>
      <c r="X49" s="48">
        <v>50</v>
      </c>
      <c r="Y49" s="45">
        <f>4.3+4.6+4.3+4+4+4+4+3.3+3.5+3.8</f>
        <v>39.799999999999997</v>
      </c>
      <c r="Z49" s="42">
        <v>23</v>
      </c>
      <c r="AA49" s="40">
        <v>6</v>
      </c>
      <c r="AB49" s="113"/>
      <c r="AC49" s="188"/>
      <c r="AF49" s="50"/>
      <c r="AG49" s="50"/>
      <c r="AH49" s="50"/>
    </row>
    <row r="50" spans="1:34" ht="21" customHeight="1" x14ac:dyDescent="0.3">
      <c r="A50" s="112">
        <v>48</v>
      </c>
      <c r="B50" s="36">
        <v>2003</v>
      </c>
      <c r="C50" s="36" t="s">
        <v>27</v>
      </c>
      <c r="D50" s="36" t="s">
        <v>1</v>
      </c>
      <c r="E50" s="36" t="s">
        <v>30</v>
      </c>
      <c r="F50" s="135">
        <f>80+80+40+40+40</f>
        <v>280</v>
      </c>
      <c r="G50" s="41">
        <f>48+67+47+46+53</f>
        <v>261</v>
      </c>
      <c r="H50" s="152">
        <v>21</v>
      </c>
      <c r="I50" s="153">
        <v>3</v>
      </c>
      <c r="J50" s="157">
        <f t="shared" si="11"/>
        <v>24</v>
      </c>
      <c r="K50" s="152">
        <v>2</v>
      </c>
      <c r="L50" s="171">
        <v>1</v>
      </c>
      <c r="M50" s="171">
        <v>0</v>
      </c>
      <c r="N50" s="171">
        <v>0</v>
      </c>
      <c r="O50" s="171">
        <v>0</v>
      </c>
      <c r="P50" s="171">
        <v>2</v>
      </c>
      <c r="Q50" s="157">
        <v>19</v>
      </c>
      <c r="R50" s="152">
        <v>9</v>
      </c>
      <c r="S50" s="153">
        <v>0</v>
      </c>
      <c r="T50" s="179">
        <v>6</v>
      </c>
      <c r="U50" s="31">
        <f t="shared" si="7"/>
        <v>15</v>
      </c>
      <c r="V50" s="28">
        <f>G50/R50</f>
        <v>29</v>
      </c>
      <c r="W50" s="43">
        <f>(227.95+227.95+196.36+196.36+133.28+133.28+98.18+98.18+135.51+135.51)/G50</f>
        <v>6.0634482758620694</v>
      </c>
      <c r="X50" s="69">
        <v>51</v>
      </c>
      <c r="Y50" s="74">
        <v>78.19</v>
      </c>
      <c r="Z50" s="72">
        <v>8</v>
      </c>
      <c r="AA50" s="73">
        <v>8</v>
      </c>
      <c r="AB50" s="113"/>
      <c r="AC50" s="189" t="s">
        <v>85</v>
      </c>
    </row>
    <row r="51" spans="1:34" ht="21" customHeight="1" x14ac:dyDescent="0.3">
      <c r="A51" s="112">
        <v>49</v>
      </c>
      <c r="B51" s="36">
        <v>2003</v>
      </c>
      <c r="C51" s="36" t="s">
        <v>31</v>
      </c>
      <c r="D51" s="36" t="s">
        <v>28</v>
      </c>
      <c r="E51" s="36" t="s">
        <v>30</v>
      </c>
      <c r="F51" s="135">
        <f>21*5</f>
        <v>105</v>
      </c>
      <c r="G51" s="41">
        <f>21+24+21+23+27</f>
        <v>116</v>
      </c>
      <c r="H51" s="152">
        <v>7</v>
      </c>
      <c r="I51" s="153">
        <v>8</v>
      </c>
      <c r="J51" s="157">
        <f t="shared" si="11"/>
        <v>15</v>
      </c>
      <c r="K51" s="152">
        <v>7</v>
      </c>
      <c r="L51" s="171">
        <v>0</v>
      </c>
      <c r="M51" s="171">
        <v>0</v>
      </c>
      <c r="N51" s="171">
        <v>0</v>
      </c>
      <c r="O51" s="171">
        <v>0</v>
      </c>
      <c r="P51" s="171">
        <v>2</v>
      </c>
      <c r="Q51" s="157">
        <v>6</v>
      </c>
      <c r="R51" s="152">
        <v>11</v>
      </c>
      <c r="S51" s="153">
        <v>14</v>
      </c>
      <c r="T51" s="179">
        <v>0</v>
      </c>
      <c r="U51" s="31">
        <f t="shared" si="7"/>
        <v>25</v>
      </c>
      <c r="V51" s="28">
        <f>G51/R51</f>
        <v>10.545454545454545</v>
      </c>
      <c r="W51" s="43">
        <f>836.52/G51</f>
        <v>7.2113793103448272</v>
      </c>
      <c r="X51" s="20">
        <v>51</v>
      </c>
      <c r="Y51" s="74">
        <v>60.27</v>
      </c>
      <c r="Z51" s="72">
        <v>12</v>
      </c>
      <c r="AA51" s="73">
        <v>3</v>
      </c>
      <c r="AB51" s="113"/>
      <c r="AC51" s="188"/>
    </row>
    <row r="52" spans="1:34" ht="21" customHeight="1" x14ac:dyDescent="0.3">
      <c r="A52" s="112">
        <v>50</v>
      </c>
      <c r="B52" s="38">
        <v>2002</v>
      </c>
      <c r="C52" s="38" t="s">
        <v>27</v>
      </c>
      <c r="D52" s="38" t="s">
        <v>28</v>
      </c>
      <c r="E52" s="38" t="s">
        <v>30</v>
      </c>
      <c r="F52" s="37">
        <v>39</v>
      </c>
      <c r="G52" s="70">
        <f>50+46+43+46+39</f>
        <v>224</v>
      </c>
      <c r="H52" s="154">
        <v>20</v>
      </c>
      <c r="I52" s="155">
        <v>19</v>
      </c>
      <c r="J52" s="156">
        <f t="shared" si="11"/>
        <v>39</v>
      </c>
      <c r="K52" s="154">
        <v>22</v>
      </c>
      <c r="L52" s="155">
        <v>0</v>
      </c>
      <c r="M52" s="155">
        <v>0</v>
      </c>
      <c r="N52" s="155">
        <v>0</v>
      </c>
      <c r="O52" s="155">
        <v>0</v>
      </c>
      <c r="P52" s="155">
        <v>1</v>
      </c>
      <c r="Q52" s="156">
        <v>16</v>
      </c>
      <c r="R52" s="154">
        <v>11</v>
      </c>
      <c r="S52" s="155">
        <v>17</v>
      </c>
      <c r="T52" s="180">
        <v>1</v>
      </c>
      <c r="U52" s="31">
        <f t="shared" si="7"/>
        <v>29</v>
      </c>
      <c r="V52" s="18">
        <f>G52/R52</f>
        <v>20.363636363636363</v>
      </c>
      <c r="W52" s="71">
        <f>626.4/G52</f>
        <v>2.7964285714285713</v>
      </c>
      <c r="X52" s="48">
        <v>46</v>
      </c>
      <c r="Y52" s="68">
        <v>43.62</v>
      </c>
      <c r="Z52" s="72">
        <v>7</v>
      </c>
      <c r="AA52" s="73">
        <v>0</v>
      </c>
      <c r="AB52" s="113"/>
      <c r="AC52" s="190" t="s">
        <v>84</v>
      </c>
    </row>
    <row r="53" spans="1:34" ht="21" customHeight="1" x14ac:dyDescent="0.3">
      <c r="A53" s="112">
        <v>51</v>
      </c>
      <c r="B53" s="36">
        <v>2002</v>
      </c>
      <c r="C53" s="36" t="s">
        <v>0</v>
      </c>
      <c r="D53" s="36" t="s">
        <v>1</v>
      </c>
      <c r="E53" s="36" t="s">
        <v>41</v>
      </c>
      <c r="F53" s="135">
        <f>27*5</f>
        <v>135</v>
      </c>
      <c r="G53" s="41">
        <f>29+34+35+35+46</f>
        <v>179</v>
      </c>
      <c r="H53" s="152">
        <v>8</v>
      </c>
      <c r="I53" s="153">
        <v>14</v>
      </c>
      <c r="J53" s="157">
        <f t="shared" si="11"/>
        <v>22</v>
      </c>
      <c r="K53" s="152">
        <v>5</v>
      </c>
      <c r="L53" s="171">
        <v>0</v>
      </c>
      <c r="M53" s="171">
        <v>0</v>
      </c>
      <c r="N53" s="171">
        <v>0</v>
      </c>
      <c r="O53" s="171">
        <v>0</v>
      </c>
      <c r="P53" s="171">
        <v>2</v>
      </c>
      <c r="Q53" s="157">
        <v>1</v>
      </c>
      <c r="R53" s="152">
        <v>9</v>
      </c>
      <c r="S53" s="153">
        <v>10</v>
      </c>
      <c r="T53" s="179">
        <v>0</v>
      </c>
      <c r="U53" s="31">
        <f t="shared" si="7"/>
        <v>19</v>
      </c>
      <c r="V53" s="28">
        <f>G53/R53</f>
        <v>19.888888888888889</v>
      </c>
      <c r="W53" s="43">
        <f>(118.8+118.8+153.3+153.3+153.3+153.3+153.3+153.3+432+432)/G53</f>
        <v>11.292737430167596</v>
      </c>
      <c r="X53" s="48">
        <v>60</v>
      </c>
      <c r="Y53" s="68">
        <f>5.455+5.808+4.866+4.736+5+5.455+5.141+5.141+20.168+20.991</f>
        <v>82.760999999999996</v>
      </c>
      <c r="Z53" s="72">
        <v>40</v>
      </c>
      <c r="AA53" s="73">
        <v>0</v>
      </c>
      <c r="AB53" s="113"/>
      <c r="AC53" s="188"/>
    </row>
    <row r="54" spans="1:34" ht="21" customHeight="1" x14ac:dyDescent="0.3">
      <c r="A54" s="112">
        <v>52</v>
      </c>
      <c r="B54" s="44">
        <v>2002</v>
      </c>
      <c r="C54" s="44" t="s">
        <v>24</v>
      </c>
      <c r="D54" s="36" t="s">
        <v>1</v>
      </c>
      <c r="E54" s="36" t="s">
        <v>2</v>
      </c>
      <c r="F54" s="135">
        <f>30*5</f>
        <v>150</v>
      </c>
      <c r="G54" s="41">
        <f>32+30+33+27+29</f>
        <v>151</v>
      </c>
      <c r="H54" s="152">
        <v>21</v>
      </c>
      <c r="I54" s="153">
        <v>17</v>
      </c>
      <c r="J54" s="157">
        <f t="shared" si="11"/>
        <v>38</v>
      </c>
      <c r="K54" s="152">
        <v>22</v>
      </c>
      <c r="L54" s="171">
        <v>0</v>
      </c>
      <c r="M54" s="171">
        <v>0</v>
      </c>
      <c r="N54" s="171">
        <v>3</v>
      </c>
      <c r="O54" s="171">
        <v>0</v>
      </c>
      <c r="P54" s="171">
        <v>4</v>
      </c>
      <c r="Q54" s="157">
        <v>10</v>
      </c>
      <c r="R54" s="152">
        <v>7</v>
      </c>
      <c r="S54" s="153">
        <v>31</v>
      </c>
      <c r="T54" s="179">
        <v>0</v>
      </c>
      <c r="U54" s="31">
        <f t="shared" si="7"/>
        <v>38</v>
      </c>
      <c r="V54" s="45">
        <f>G54/R54</f>
        <v>21.571428571428573</v>
      </c>
      <c r="W54" s="43">
        <f>1792.16/G54</f>
        <v>11.86860927152318</v>
      </c>
      <c r="X54" s="48">
        <v>54</v>
      </c>
      <c r="Y54" s="68">
        <v>61.13</v>
      </c>
      <c r="Z54" s="72">
        <v>23</v>
      </c>
      <c r="AA54" s="73">
        <v>4</v>
      </c>
      <c r="AB54" s="113"/>
      <c r="AC54" s="188"/>
      <c r="AF54" s="52"/>
      <c r="AG54" s="52"/>
      <c r="AH54" s="52"/>
    </row>
    <row r="55" spans="1:34" ht="21" customHeight="1" x14ac:dyDescent="0.3">
      <c r="A55" s="112">
        <v>53</v>
      </c>
      <c r="B55" s="27">
        <v>2002</v>
      </c>
      <c r="C55" s="27" t="s">
        <v>31</v>
      </c>
      <c r="D55" s="27" t="s">
        <v>28</v>
      </c>
      <c r="E55" s="27" t="s">
        <v>2</v>
      </c>
      <c r="F55" s="134">
        <v>23</v>
      </c>
      <c r="G55" s="24">
        <f>31+22+27+23+8</f>
        <v>111</v>
      </c>
      <c r="H55" s="148">
        <v>5</v>
      </c>
      <c r="I55" s="151">
        <v>3</v>
      </c>
      <c r="J55" s="150">
        <v>8</v>
      </c>
      <c r="K55" s="148">
        <v>3</v>
      </c>
      <c r="L55" s="171">
        <v>0</v>
      </c>
      <c r="M55" s="171">
        <v>0</v>
      </c>
      <c r="N55" s="171">
        <v>0</v>
      </c>
      <c r="O55" s="171">
        <v>0</v>
      </c>
      <c r="P55" s="149">
        <v>0</v>
      </c>
      <c r="Q55" s="150">
        <v>5</v>
      </c>
      <c r="R55" s="148">
        <v>7</v>
      </c>
      <c r="S55" s="151">
        <v>12</v>
      </c>
      <c r="T55" s="178">
        <v>0</v>
      </c>
      <c r="U55" s="31">
        <f t="shared" si="7"/>
        <v>19</v>
      </c>
      <c r="V55" s="28">
        <f>G55/R55</f>
        <v>15.857142857142858</v>
      </c>
      <c r="W55" s="29">
        <f>645.72/G55</f>
        <v>5.8172972972972978</v>
      </c>
      <c r="X55" s="20">
        <v>52</v>
      </c>
      <c r="Y55" s="28">
        <v>107.81</v>
      </c>
      <c r="Z55" s="25">
        <v>48</v>
      </c>
      <c r="AA55" s="23">
        <v>7</v>
      </c>
      <c r="AB55" s="113"/>
      <c r="AC55" s="190" t="s">
        <v>88</v>
      </c>
    </row>
    <row r="56" spans="1:34" ht="21" customHeight="1" x14ac:dyDescent="0.3">
      <c r="A56" s="112">
        <v>54</v>
      </c>
      <c r="B56" s="15">
        <v>2003</v>
      </c>
      <c r="C56" s="15" t="s">
        <v>0</v>
      </c>
      <c r="D56" s="15" t="s">
        <v>49</v>
      </c>
      <c r="E56" s="15" t="s">
        <v>2</v>
      </c>
      <c r="F56" s="16">
        <f>27*5</f>
        <v>135</v>
      </c>
      <c r="G56" s="17">
        <f>26+28+24+31+36</f>
        <v>145</v>
      </c>
      <c r="H56" s="145">
        <v>16</v>
      </c>
      <c r="I56" s="146">
        <v>13</v>
      </c>
      <c r="J56" s="150">
        <f>SUM(H56:I56)</f>
        <v>29</v>
      </c>
      <c r="K56" s="145">
        <v>14</v>
      </c>
      <c r="L56" s="171">
        <v>0</v>
      </c>
      <c r="M56" s="171">
        <v>0</v>
      </c>
      <c r="N56" s="146">
        <v>0</v>
      </c>
      <c r="O56" s="171">
        <v>0</v>
      </c>
      <c r="P56" s="171">
        <v>2</v>
      </c>
      <c r="Q56" s="147">
        <v>13</v>
      </c>
      <c r="R56" s="145">
        <v>7</v>
      </c>
      <c r="S56" s="146">
        <v>13</v>
      </c>
      <c r="T56" s="176">
        <v>0</v>
      </c>
      <c r="U56" s="31">
        <f t="shared" si="7"/>
        <v>20</v>
      </c>
      <c r="V56" s="18">
        <f>G56/R56</f>
        <v>20.714285714285715</v>
      </c>
      <c r="W56" s="19">
        <f>(278.1+278.1+143.6+143.6+143.6+143.6+143.6+143.6+143.6+143.6)/G56</f>
        <v>11.758620689655171</v>
      </c>
      <c r="X56" s="20">
        <v>58</v>
      </c>
      <c r="Y56" s="18">
        <v>53.7</v>
      </c>
      <c r="Z56" s="21">
        <v>26</v>
      </c>
      <c r="AA56" s="22">
        <v>8</v>
      </c>
      <c r="AB56" s="113"/>
      <c r="AC56" s="191"/>
    </row>
    <row r="57" spans="1:34" ht="21" customHeight="1" x14ac:dyDescent="0.3">
      <c r="A57" s="112">
        <v>55</v>
      </c>
      <c r="B57" s="15">
        <v>2002</v>
      </c>
      <c r="C57" s="15" t="s">
        <v>31</v>
      </c>
      <c r="D57" s="15" t="s">
        <v>50</v>
      </c>
      <c r="E57" s="15" t="s">
        <v>51</v>
      </c>
      <c r="F57" s="16">
        <f>20*5</f>
        <v>100</v>
      </c>
      <c r="G57" s="17">
        <f>15+19+15+15+36</f>
        <v>100</v>
      </c>
      <c r="H57" s="145">
        <v>4</v>
      </c>
      <c r="I57" s="146">
        <v>9</v>
      </c>
      <c r="J57" s="147">
        <f t="shared" ref="J57:J65" si="12">SUM(H57:I57)</f>
        <v>13</v>
      </c>
      <c r="K57" s="145">
        <v>1</v>
      </c>
      <c r="L57" s="171">
        <v>0</v>
      </c>
      <c r="M57" s="171">
        <v>0</v>
      </c>
      <c r="N57" s="171">
        <v>0</v>
      </c>
      <c r="O57" s="171">
        <v>0</v>
      </c>
      <c r="P57" s="146">
        <v>0</v>
      </c>
      <c r="Q57" s="147">
        <v>12</v>
      </c>
      <c r="R57" s="145">
        <v>7</v>
      </c>
      <c r="S57" s="146">
        <v>26</v>
      </c>
      <c r="T57" s="176">
        <v>0</v>
      </c>
      <c r="U57" s="31">
        <f t="shared" si="7"/>
        <v>33</v>
      </c>
      <c r="V57" s="18">
        <f>G57/R57</f>
        <v>14.285714285714286</v>
      </c>
      <c r="W57" s="19">
        <f>1116/G57</f>
        <v>11.16</v>
      </c>
      <c r="X57" s="20">
        <v>56</v>
      </c>
      <c r="Y57" s="18">
        <f>5.71+5.45+12.85+12.5+20.76+20.76+15+15+21.6+23.47</f>
        <v>153.1</v>
      </c>
      <c r="Z57" s="21">
        <v>0</v>
      </c>
      <c r="AA57" s="22">
        <v>0</v>
      </c>
      <c r="AB57" s="113"/>
      <c r="AC57" s="188"/>
    </row>
    <row r="58" spans="1:34" ht="21" customHeight="1" x14ac:dyDescent="0.3">
      <c r="A58" s="112">
        <v>56</v>
      </c>
      <c r="B58" s="15">
        <v>2003</v>
      </c>
      <c r="C58" s="15" t="s">
        <v>27</v>
      </c>
      <c r="D58" s="15" t="s">
        <v>28</v>
      </c>
      <c r="E58" s="15" t="s">
        <v>41</v>
      </c>
      <c r="F58" s="16">
        <f>38+38+33+33+33</f>
        <v>175</v>
      </c>
      <c r="G58" s="17">
        <f>45+44+36+34+37</f>
        <v>196</v>
      </c>
      <c r="H58" s="145">
        <v>12</v>
      </c>
      <c r="I58" s="146">
        <v>20</v>
      </c>
      <c r="J58" s="147">
        <v>32</v>
      </c>
      <c r="K58" s="145">
        <v>8</v>
      </c>
      <c r="L58" s="146">
        <v>0</v>
      </c>
      <c r="M58" s="146">
        <v>0</v>
      </c>
      <c r="N58" s="146">
        <v>0</v>
      </c>
      <c r="O58" s="146">
        <v>0</v>
      </c>
      <c r="P58" s="146">
        <v>4</v>
      </c>
      <c r="Q58" s="147">
        <v>20</v>
      </c>
      <c r="R58" s="145">
        <v>6</v>
      </c>
      <c r="S58" s="146">
        <v>16</v>
      </c>
      <c r="T58" s="176">
        <v>0</v>
      </c>
      <c r="U58" s="31">
        <f t="shared" si="7"/>
        <v>22</v>
      </c>
      <c r="V58" s="18">
        <f>G58/R58</f>
        <v>32.666666666666664</v>
      </c>
      <c r="W58" s="19">
        <f>2142/G58</f>
        <v>10.928571428571429</v>
      </c>
      <c r="X58" s="14">
        <v>48</v>
      </c>
      <c r="Y58" s="18">
        <v>51.5</v>
      </c>
      <c r="Z58" s="21">
        <v>9</v>
      </c>
      <c r="AA58" s="22">
        <v>2</v>
      </c>
      <c r="AB58" s="113"/>
      <c r="AC58" s="188"/>
    </row>
    <row r="59" spans="1:34" ht="21" customHeight="1" x14ac:dyDescent="0.3">
      <c r="A59" s="112">
        <v>57</v>
      </c>
      <c r="B59" s="27">
        <v>2003</v>
      </c>
      <c r="C59" s="27" t="s">
        <v>0</v>
      </c>
      <c r="D59" s="27" t="s">
        <v>38</v>
      </c>
      <c r="E59" s="27" t="s">
        <v>41</v>
      </c>
      <c r="F59" s="26">
        <f>24*5</f>
        <v>120</v>
      </c>
      <c r="G59" s="24">
        <f>18+24+25+26+39</f>
        <v>132</v>
      </c>
      <c r="H59" s="148">
        <v>19</v>
      </c>
      <c r="I59" s="149">
        <v>8</v>
      </c>
      <c r="J59" s="150">
        <f t="shared" ref="J59:J67" si="13">SUM(H59:I59)</f>
        <v>27</v>
      </c>
      <c r="K59" s="148">
        <v>11</v>
      </c>
      <c r="L59" s="149">
        <v>0</v>
      </c>
      <c r="M59" s="149">
        <v>0</v>
      </c>
      <c r="N59" s="149">
        <v>0</v>
      </c>
      <c r="O59" s="149">
        <v>0</v>
      </c>
      <c r="P59" s="149">
        <v>0</v>
      </c>
      <c r="Q59" s="150">
        <v>16</v>
      </c>
      <c r="R59" s="148">
        <v>7</v>
      </c>
      <c r="S59" s="149">
        <v>28</v>
      </c>
      <c r="T59" s="177">
        <v>0</v>
      </c>
      <c r="U59" s="31">
        <f t="shared" si="7"/>
        <v>35</v>
      </c>
      <c r="V59" s="28">
        <f>G59/R59</f>
        <v>18.857142857142858</v>
      </c>
      <c r="W59" s="29">
        <f>(129.6+129.6+280.8+280.8+280.8+280.8+280.8+280.8+108+108)/G59</f>
        <v>16.363636363636363</v>
      </c>
      <c r="X59" s="14">
        <v>48</v>
      </c>
      <c r="Y59" s="28">
        <v>53</v>
      </c>
      <c r="Z59" s="25">
        <v>18</v>
      </c>
      <c r="AA59" s="23">
        <v>2</v>
      </c>
      <c r="AB59" s="113"/>
      <c r="AC59" s="193"/>
    </row>
    <row r="60" spans="1:34" ht="21" customHeight="1" x14ac:dyDescent="0.3">
      <c r="A60" s="114">
        <v>58</v>
      </c>
      <c r="B60" s="15">
        <v>2002</v>
      </c>
      <c r="C60" s="15" t="s">
        <v>3</v>
      </c>
      <c r="D60" s="15" t="s">
        <v>28</v>
      </c>
      <c r="E60" s="15" t="s">
        <v>41</v>
      </c>
      <c r="F60" s="16">
        <v>43</v>
      </c>
      <c r="G60" s="17">
        <f>56+63+53+45+92</f>
        <v>309</v>
      </c>
      <c r="H60" s="145">
        <v>38</v>
      </c>
      <c r="I60" s="146">
        <v>33</v>
      </c>
      <c r="J60" s="147">
        <f t="shared" si="13"/>
        <v>71</v>
      </c>
      <c r="K60" s="145">
        <v>0</v>
      </c>
      <c r="L60" s="146">
        <v>0</v>
      </c>
      <c r="M60" s="146">
        <v>0</v>
      </c>
      <c r="N60" s="146">
        <v>0</v>
      </c>
      <c r="O60" s="146">
        <v>0</v>
      </c>
      <c r="P60" s="146">
        <v>0</v>
      </c>
      <c r="Q60" s="147">
        <v>0</v>
      </c>
      <c r="R60" s="145">
        <v>10</v>
      </c>
      <c r="S60" s="146">
        <v>46</v>
      </c>
      <c r="T60" s="176">
        <v>1</v>
      </c>
      <c r="U60" s="31">
        <f t="shared" si="7"/>
        <v>57</v>
      </c>
      <c r="V60" s="18">
        <f>G60/R60</f>
        <v>30.9</v>
      </c>
      <c r="W60" s="29">
        <v>0</v>
      </c>
      <c r="X60" s="20">
        <v>54</v>
      </c>
      <c r="Y60" s="18">
        <f>1.91+2.23+5+5+4.41+4.61+4.68+4.41+4.72+5.21</f>
        <v>42.18</v>
      </c>
      <c r="Z60" s="21">
        <v>48</v>
      </c>
      <c r="AA60" s="22">
        <v>2</v>
      </c>
      <c r="AB60" s="113"/>
      <c r="AC60" s="190" t="s">
        <v>103</v>
      </c>
    </row>
    <row r="61" spans="1:34" ht="21" customHeight="1" x14ac:dyDescent="0.3">
      <c r="A61" s="112">
        <v>59</v>
      </c>
      <c r="B61" s="15">
        <v>2000</v>
      </c>
      <c r="C61" s="27" t="s">
        <v>27</v>
      </c>
      <c r="D61" s="27" t="s">
        <v>39</v>
      </c>
      <c r="E61" s="27" t="s">
        <v>41</v>
      </c>
      <c r="F61" s="134"/>
      <c r="G61" s="24">
        <f>39+34+28+19+14</f>
        <v>134</v>
      </c>
      <c r="H61" s="148">
        <v>5</v>
      </c>
      <c r="I61" s="151">
        <v>5</v>
      </c>
      <c r="J61" s="147">
        <f t="shared" si="13"/>
        <v>10</v>
      </c>
      <c r="K61" s="148">
        <v>4</v>
      </c>
      <c r="L61" s="149">
        <v>0</v>
      </c>
      <c r="M61" s="149">
        <v>0</v>
      </c>
      <c r="N61" s="149">
        <v>0</v>
      </c>
      <c r="O61" s="149">
        <v>1</v>
      </c>
      <c r="P61" s="149">
        <v>1</v>
      </c>
      <c r="Q61" s="150">
        <v>4</v>
      </c>
      <c r="R61" s="145">
        <v>10</v>
      </c>
      <c r="S61" s="146">
        <v>17</v>
      </c>
      <c r="T61" s="176">
        <v>0</v>
      </c>
      <c r="U61" s="31">
        <f t="shared" si="7"/>
        <v>27</v>
      </c>
      <c r="V61" s="18">
        <f>G61/R61</f>
        <v>13.4</v>
      </c>
      <c r="W61" s="29">
        <f>(265.7+57.6+57.6)/G61</f>
        <v>2.8425373134328362</v>
      </c>
      <c r="X61" s="20">
        <v>30</v>
      </c>
      <c r="Y61" s="30">
        <v>111.7</v>
      </c>
      <c r="Z61" s="21">
        <v>91</v>
      </c>
      <c r="AA61" s="22">
        <v>28</v>
      </c>
      <c r="AB61" s="113"/>
      <c r="AC61" s="194"/>
    </row>
    <row r="62" spans="1:34" ht="21" customHeight="1" x14ac:dyDescent="0.3">
      <c r="A62" s="112">
        <v>60</v>
      </c>
      <c r="B62" s="15">
        <v>2002</v>
      </c>
      <c r="C62" s="15" t="s">
        <v>3</v>
      </c>
      <c r="D62" s="15" t="s">
        <v>1</v>
      </c>
      <c r="E62" s="15" t="s">
        <v>2</v>
      </c>
      <c r="F62" s="53"/>
      <c r="G62" s="24">
        <f>34+32+41+35+48</f>
        <v>190</v>
      </c>
      <c r="H62" s="148">
        <v>11</v>
      </c>
      <c r="I62" s="149">
        <v>15</v>
      </c>
      <c r="J62" s="147">
        <f t="shared" si="13"/>
        <v>26</v>
      </c>
      <c r="K62" s="145">
        <v>19</v>
      </c>
      <c r="L62" s="146">
        <v>0</v>
      </c>
      <c r="M62" s="146">
        <v>0</v>
      </c>
      <c r="N62" s="146">
        <v>0</v>
      </c>
      <c r="O62" s="146">
        <v>0</v>
      </c>
      <c r="P62" s="146">
        <v>2</v>
      </c>
      <c r="Q62" s="147">
        <v>5</v>
      </c>
      <c r="R62" s="145">
        <v>9</v>
      </c>
      <c r="S62" s="146">
        <v>28</v>
      </c>
      <c r="T62" s="176">
        <v>0</v>
      </c>
      <c r="U62" s="31">
        <f t="shared" si="7"/>
        <v>37</v>
      </c>
      <c r="V62" s="18">
        <f>G62/R62</f>
        <v>21.111111111111111</v>
      </c>
      <c r="W62" s="29">
        <f>1746/G62</f>
        <v>9.189473684210526</v>
      </c>
      <c r="X62" s="20">
        <v>56</v>
      </c>
      <c r="Y62" s="18">
        <v>52.37</v>
      </c>
      <c r="Z62" s="21">
        <v>47</v>
      </c>
      <c r="AA62" s="22">
        <v>4</v>
      </c>
      <c r="AB62" s="113"/>
      <c r="AC62" s="194"/>
    </row>
    <row r="63" spans="1:34" ht="21" customHeight="1" x14ac:dyDescent="0.3">
      <c r="A63" s="112">
        <v>61</v>
      </c>
      <c r="B63" s="46">
        <v>2002</v>
      </c>
      <c r="C63" s="38" t="s">
        <v>3</v>
      </c>
      <c r="D63" s="38" t="s">
        <v>1</v>
      </c>
      <c r="E63" s="38" t="s">
        <v>41</v>
      </c>
      <c r="F63" s="39">
        <f>44*5</f>
        <v>220</v>
      </c>
      <c r="G63" s="70">
        <f>52+27+37+44+53</f>
        <v>213</v>
      </c>
      <c r="H63" s="154">
        <v>20</v>
      </c>
      <c r="I63" s="155">
        <v>16</v>
      </c>
      <c r="J63" s="147">
        <f t="shared" si="13"/>
        <v>36</v>
      </c>
      <c r="K63" s="154">
        <v>8</v>
      </c>
      <c r="L63" s="155">
        <v>0</v>
      </c>
      <c r="M63" s="155">
        <v>0</v>
      </c>
      <c r="N63" s="155">
        <v>0</v>
      </c>
      <c r="O63" s="155">
        <v>0</v>
      </c>
      <c r="P63" s="155">
        <v>0</v>
      </c>
      <c r="Q63" s="156">
        <v>0</v>
      </c>
      <c r="R63" s="154">
        <v>6</v>
      </c>
      <c r="S63" s="155">
        <v>27</v>
      </c>
      <c r="T63" s="180">
        <v>0</v>
      </c>
      <c r="U63" s="31">
        <f t="shared" si="7"/>
        <v>33</v>
      </c>
      <c r="V63" s="68">
        <f>G63/R63</f>
        <v>35.5</v>
      </c>
      <c r="W63" s="71">
        <f xml:space="preserve"> 2188.95/G63</f>
        <v>10.276760563380281</v>
      </c>
      <c r="X63" s="48">
        <v>52</v>
      </c>
      <c r="Y63" s="68">
        <v>51.093000000000004</v>
      </c>
      <c r="Z63" s="72">
        <v>32</v>
      </c>
      <c r="AA63" s="73">
        <v>3</v>
      </c>
      <c r="AB63" s="113"/>
      <c r="AC63" s="190" t="s">
        <v>69</v>
      </c>
    </row>
    <row r="64" spans="1:34" ht="21" customHeight="1" x14ac:dyDescent="0.3">
      <c r="A64" s="112">
        <v>62</v>
      </c>
      <c r="B64" s="46">
        <v>2002</v>
      </c>
      <c r="C64" s="38" t="s">
        <v>3</v>
      </c>
      <c r="D64" s="38" t="s">
        <v>89</v>
      </c>
      <c r="E64" s="38" t="s">
        <v>53</v>
      </c>
      <c r="F64" s="39">
        <f>46*5</f>
        <v>230</v>
      </c>
      <c r="G64" s="70">
        <f>56+70+89+92+144</f>
        <v>451</v>
      </c>
      <c r="H64" s="154">
        <v>57</v>
      </c>
      <c r="I64" s="155">
        <v>42</v>
      </c>
      <c r="J64" s="147">
        <f t="shared" si="13"/>
        <v>99</v>
      </c>
      <c r="K64" s="154">
        <v>36</v>
      </c>
      <c r="L64" s="155">
        <v>2</v>
      </c>
      <c r="M64" s="155">
        <v>2</v>
      </c>
      <c r="N64" s="155">
        <v>0</v>
      </c>
      <c r="O64" s="155">
        <v>3</v>
      </c>
      <c r="P64" s="155">
        <v>3</v>
      </c>
      <c r="Q64" s="156">
        <v>53</v>
      </c>
      <c r="R64" s="154">
        <v>18</v>
      </c>
      <c r="S64" s="155">
        <v>76</v>
      </c>
      <c r="T64" s="180">
        <v>0</v>
      </c>
      <c r="U64" s="69">
        <f t="shared" si="7"/>
        <v>94</v>
      </c>
      <c r="V64" s="68">
        <f>G64/R64</f>
        <v>25.055555555555557</v>
      </c>
      <c r="W64" s="71">
        <f>4211.9/G64</f>
        <v>9.3390243902439014</v>
      </c>
      <c r="X64" s="48">
        <v>57</v>
      </c>
      <c r="Y64" s="68">
        <v>44</v>
      </c>
      <c r="Z64" s="72">
        <v>0</v>
      </c>
      <c r="AA64" s="73">
        <v>0</v>
      </c>
      <c r="AB64" s="116"/>
      <c r="AC64" s="190" t="s">
        <v>87</v>
      </c>
    </row>
    <row r="65" spans="1:29" ht="21" customHeight="1" x14ac:dyDescent="0.3">
      <c r="A65" s="112">
        <v>63</v>
      </c>
      <c r="B65" s="49">
        <v>2005</v>
      </c>
      <c r="C65" s="27" t="s">
        <v>27</v>
      </c>
      <c r="D65" s="27" t="s">
        <v>29</v>
      </c>
      <c r="E65" s="27" t="s">
        <v>30</v>
      </c>
      <c r="F65" s="26">
        <f>56/2+28+28+28+28</f>
        <v>140</v>
      </c>
      <c r="G65" s="24">
        <f>59+34+57+69+51</f>
        <v>270</v>
      </c>
      <c r="H65" s="148">
        <v>22</v>
      </c>
      <c r="I65" s="149">
        <v>18</v>
      </c>
      <c r="J65" s="156">
        <f t="shared" si="13"/>
        <v>40</v>
      </c>
      <c r="K65" s="148">
        <v>16</v>
      </c>
      <c r="L65" s="149">
        <v>0</v>
      </c>
      <c r="M65" s="149">
        <v>0</v>
      </c>
      <c r="N65" s="149">
        <v>1</v>
      </c>
      <c r="O65" s="149">
        <v>0</v>
      </c>
      <c r="P65" s="149">
        <v>0</v>
      </c>
      <c r="Q65" s="150">
        <v>23</v>
      </c>
      <c r="R65" s="148">
        <v>13</v>
      </c>
      <c r="S65" s="149">
        <v>19</v>
      </c>
      <c r="T65" s="177">
        <v>5</v>
      </c>
      <c r="U65" s="20">
        <f t="shared" si="7"/>
        <v>37</v>
      </c>
      <c r="V65" s="28">
        <f>G65/R65</f>
        <v>20.76923076923077</v>
      </c>
      <c r="W65" s="29">
        <f>2995.6/G66</f>
        <v>18.155151515151516</v>
      </c>
      <c r="X65" s="20">
        <v>48.1</v>
      </c>
      <c r="Y65" s="62">
        <v>49.398000000000003</v>
      </c>
      <c r="Z65" s="25">
        <v>31</v>
      </c>
      <c r="AA65" s="23">
        <v>4</v>
      </c>
      <c r="AB65" s="113"/>
      <c r="AC65" s="190" t="s">
        <v>87</v>
      </c>
    </row>
    <row r="66" spans="1:29" ht="21" customHeight="1" x14ac:dyDescent="0.3">
      <c r="A66" s="114">
        <v>64</v>
      </c>
      <c r="B66" s="49">
        <v>2003</v>
      </c>
      <c r="C66" s="27" t="s">
        <v>27</v>
      </c>
      <c r="D66" s="27" t="s">
        <v>90</v>
      </c>
      <c r="E66" s="27" t="s">
        <v>41</v>
      </c>
      <c r="F66" s="26">
        <f>30+30+35+30+40</f>
        <v>165</v>
      </c>
      <c r="G66" s="24">
        <f>26+27+19+38+55</f>
        <v>165</v>
      </c>
      <c r="H66" s="148">
        <v>21</v>
      </c>
      <c r="I66" s="149">
        <v>11</v>
      </c>
      <c r="J66" s="150">
        <f t="shared" ref="J66:J73" si="14">SUM(H66:I66)</f>
        <v>32</v>
      </c>
      <c r="K66" s="148">
        <v>28</v>
      </c>
      <c r="L66" s="149">
        <v>0</v>
      </c>
      <c r="M66" s="149">
        <v>0</v>
      </c>
      <c r="N66" s="149">
        <v>0</v>
      </c>
      <c r="O66" s="149">
        <v>1</v>
      </c>
      <c r="P66" s="149">
        <v>3</v>
      </c>
      <c r="Q66" s="150">
        <v>0</v>
      </c>
      <c r="R66" s="148">
        <v>8</v>
      </c>
      <c r="S66" s="149">
        <v>8</v>
      </c>
      <c r="T66" s="177">
        <v>0</v>
      </c>
      <c r="U66" s="20">
        <f t="shared" si="7"/>
        <v>16</v>
      </c>
      <c r="V66" s="28">
        <f>G66/R66</f>
        <v>20.625</v>
      </c>
      <c r="W66" s="29">
        <f>(95.04+129.6+90.72+120.96+125.28+90.72+120.96+120.96+181.44+151.2)/G66</f>
        <v>7.4356363636363643</v>
      </c>
      <c r="X66" s="20">
        <v>63</v>
      </c>
      <c r="Y66" s="62">
        <f>2.483+2.322+9.29+13.333+11.52+12.521+12.857+10.285+10.81+9</f>
        <v>94.420999999999992</v>
      </c>
      <c r="Z66" s="25">
        <v>1</v>
      </c>
      <c r="AA66" s="23">
        <v>1</v>
      </c>
      <c r="AB66" s="113"/>
      <c r="AC66" s="193"/>
    </row>
    <row r="67" spans="1:29" ht="21" customHeight="1" x14ac:dyDescent="0.3">
      <c r="A67" s="114">
        <v>65</v>
      </c>
      <c r="B67" s="49">
        <v>2013</v>
      </c>
      <c r="C67" s="27" t="s">
        <v>27</v>
      </c>
      <c r="D67" s="27" t="s">
        <v>39</v>
      </c>
      <c r="E67" s="27" t="s">
        <v>39</v>
      </c>
      <c r="F67" s="26">
        <f>82+48+48+48</f>
        <v>226</v>
      </c>
      <c r="G67" s="24">
        <f>96+54+49+42+22+22+9+9</f>
        <v>303</v>
      </c>
      <c r="H67" s="148">
        <v>20</v>
      </c>
      <c r="I67" s="149">
        <v>17</v>
      </c>
      <c r="J67" s="150">
        <f t="shared" si="14"/>
        <v>37</v>
      </c>
      <c r="K67" s="148">
        <v>4</v>
      </c>
      <c r="L67" s="149">
        <v>3</v>
      </c>
      <c r="M67" s="149">
        <v>1</v>
      </c>
      <c r="N67" s="149">
        <v>0</v>
      </c>
      <c r="O67" s="149">
        <v>0</v>
      </c>
      <c r="P67" s="149">
        <v>19</v>
      </c>
      <c r="Q67" s="150">
        <v>10</v>
      </c>
      <c r="R67" s="154">
        <v>10</v>
      </c>
      <c r="S67" s="155">
        <v>20</v>
      </c>
      <c r="T67" s="180">
        <v>0</v>
      </c>
      <c r="U67" s="20">
        <f t="shared" si="7"/>
        <v>30</v>
      </c>
      <c r="V67" s="28">
        <f>G67/R67</f>
        <v>30.3</v>
      </c>
      <c r="W67" s="29">
        <f>(166.68+166.68+203.12+258.64+223.53+223.53+222.23+166.71+91.86+91.86+108.52+108.52)/G67</f>
        <v>6.7058745874587453</v>
      </c>
      <c r="X67" s="20">
        <v>54</v>
      </c>
      <c r="Y67" s="62">
        <v>49.3</v>
      </c>
      <c r="Z67" s="25">
        <v>17</v>
      </c>
      <c r="AA67" s="23">
        <v>6</v>
      </c>
      <c r="AB67" s="113"/>
      <c r="AC67" s="190" t="s">
        <v>91</v>
      </c>
    </row>
    <row r="68" spans="1:29" ht="21" customHeight="1" x14ac:dyDescent="0.3">
      <c r="A68" s="114">
        <v>66</v>
      </c>
      <c r="B68" s="49">
        <v>2002</v>
      </c>
      <c r="C68" s="27" t="s">
        <v>27</v>
      </c>
      <c r="D68" s="27" t="s">
        <v>28</v>
      </c>
      <c r="E68" s="27" t="s">
        <v>30</v>
      </c>
      <c r="F68" s="81">
        <f>75/2+75/2+40+40+40</f>
        <v>195</v>
      </c>
      <c r="G68" s="80">
        <f>67+60+75+55+27</f>
        <v>284</v>
      </c>
      <c r="H68" s="158">
        <v>15</v>
      </c>
      <c r="I68" s="159">
        <v>10</v>
      </c>
      <c r="J68" s="160">
        <f t="shared" si="14"/>
        <v>25</v>
      </c>
      <c r="K68" s="158">
        <v>9</v>
      </c>
      <c r="L68" s="159">
        <v>1</v>
      </c>
      <c r="M68" s="159">
        <v>1</v>
      </c>
      <c r="N68" s="159">
        <v>0</v>
      </c>
      <c r="O68" s="159">
        <v>0</v>
      </c>
      <c r="P68" s="159">
        <v>0</v>
      </c>
      <c r="Q68" s="160">
        <v>14</v>
      </c>
      <c r="R68" s="158">
        <v>11</v>
      </c>
      <c r="S68" s="159">
        <v>26</v>
      </c>
      <c r="T68" s="181">
        <v>0</v>
      </c>
      <c r="U68" s="79">
        <f t="shared" si="7"/>
        <v>37</v>
      </c>
      <c r="V68" s="82">
        <f>G68/R68</f>
        <v>25.818181818181817</v>
      </c>
      <c r="W68" s="83">
        <f>2024.7/G68</f>
        <v>7.1292253521126758</v>
      </c>
      <c r="X68" s="79">
        <v>54</v>
      </c>
      <c r="Y68" s="84">
        <v>39.76</v>
      </c>
      <c r="Z68" s="85">
        <v>1</v>
      </c>
      <c r="AA68" s="86">
        <v>1</v>
      </c>
      <c r="AB68" s="117"/>
      <c r="AC68" s="195" t="s">
        <v>92</v>
      </c>
    </row>
    <row r="69" spans="1:29" ht="21" customHeight="1" x14ac:dyDescent="0.3">
      <c r="A69" s="114">
        <v>67</v>
      </c>
      <c r="B69" s="33">
        <v>2003</v>
      </c>
      <c r="C69" s="33" t="s">
        <v>27</v>
      </c>
      <c r="D69" s="27" t="s">
        <v>28</v>
      </c>
      <c r="E69" s="33" t="s">
        <v>74</v>
      </c>
      <c r="F69" s="89">
        <f>50/2+26*4</f>
        <v>129</v>
      </c>
      <c r="G69" s="88">
        <f>38+22+13+17+24</f>
        <v>114</v>
      </c>
      <c r="H69" s="161">
        <v>15</v>
      </c>
      <c r="I69" s="162">
        <v>2</v>
      </c>
      <c r="J69" s="160">
        <v>17</v>
      </c>
      <c r="K69" s="161">
        <v>13</v>
      </c>
      <c r="L69" s="162">
        <v>0</v>
      </c>
      <c r="M69" s="162">
        <v>0</v>
      </c>
      <c r="N69" s="162">
        <v>0</v>
      </c>
      <c r="O69" s="162">
        <v>0</v>
      </c>
      <c r="P69" s="162">
        <v>0</v>
      </c>
      <c r="Q69" s="172">
        <v>1</v>
      </c>
      <c r="R69" s="161">
        <v>6</v>
      </c>
      <c r="S69" s="162">
        <v>13</v>
      </c>
      <c r="T69" s="182">
        <v>4</v>
      </c>
      <c r="U69" s="87">
        <f>SUM(R69:T69)</f>
        <v>23</v>
      </c>
      <c r="V69" s="82">
        <f>G69/R69</f>
        <v>19</v>
      </c>
      <c r="W69" s="90">
        <f>1180.4/167</f>
        <v>7.0682634730538929</v>
      </c>
      <c r="X69" s="79">
        <v>54</v>
      </c>
      <c r="Y69" s="91">
        <v>51.06</v>
      </c>
      <c r="Z69" s="85">
        <v>0</v>
      </c>
      <c r="AA69" s="86">
        <v>0</v>
      </c>
      <c r="AB69" s="117"/>
      <c r="AC69" s="195" t="s">
        <v>91</v>
      </c>
    </row>
    <row r="70" spans="1:29" ht="21" customHeight="1" x14ac:dyDescent="0.3">
      <c r="A70" s="114">
        <v>68</v>
      </c>
      <c r="B70" s="33">
        <v>2011</v>
      </c>
      <c r="C70" s="33" t="s">
        <v>27</v>
      </c>
      <c r="D70" s="27" t="s">
        <v>28</v>
      </c>
      <c r="E70" s="33" t="s">
        <v>75</v>
      </c>
      <c r="F70" s="81">
        <f>35*5</f>
        <v>175</v>
      </c>
      <c r="G70" s="80">
        <f>31+33+33+32+30</f>
        <v>159</v>
      </c>
      <c r="H70" s="158">
        <v>13</v>
      </c>
      <c r="I70" s="159">
        <v>7</v>
      </c>
      <c r="J70" s="160">
        <v>20</v>
      </c>
      <c r="K70" s="158">
        <v>0</v>
      </c>
      <c r="L70" s="159">
        <v>0</v>
      </c>
      <c r="M70" s="159">
        <v>0</v>
      </c>
      <c r="N70" s="159">
        <v>0</v>
      </c>
      <c r="O70" s="159">
        <v>0</v>
      </c>
      <c r="P70" s="159">
        <v>0</v>
      </c>
      <c r="Q70" s="160">
        <v>20</v>
      </c>
      <c r="R70" s="158">
        <v>4</v>
      </c>
      <c r="S70" s="159">
        <v>14</v>
      </c>
      <c r="T70" s="181">
        <v>0</v>
      </c>
      <c r="U70" s="79">
        <f t="shared" ref="U70:U78" si="15">SUM(R70:T70)</f>
        <v>18</v>
      </c>
      <c r="V70" s="82">
        <f>G70/R70</f>
        <v>39.75</v>
      </c>
      <c r="W70" s="83">
        <f>(97.2+128+192+128*6)/168</f>
        <v>7.0547619047619055</v>
      </c>
      <c r="X70" s="79">
        <v>57</v>
      </c>
      <c r="Y70" s="84">
        <v>48.54</v>
      </c>
      <c r="Z70" s="85">
        <v>1</v>
      </c>
      <c r="AA70" s="86">
        <v>1</v>
      </c>
      <c r="AB70" s="117"/>
      <c r="AC70" s="196"/>
    </row>
    <row r="71" spans="1:29" ht="21" customHeight="1" x14ac:dyDescent="0.3">
      <c r="A71" s="114">
        <v>69</v>
      </c>
      <c r="B71" s="33">
        <v>2002</v>
      </c>
      <c r="C71" s="33" t="s">
        <v>31</v>
      </c>
      <c r="D71" s="27" t="s">
        <v>28</v>
      </c>
      <c r="E71" s="33" t="s">
        <v>76</v>
      </c>
      <c r="F71" s="81">
        <f>24+25+26*3</f>
        <v>127</v>
      </c>
      <c r="G71" s="80">
        <f>23+18+22+16+26</f>
        <v>105</v>
      </c>
      <c r="H71" s="158">
        <v>9</v>
      </c>
      <c r="I71" s="159">
        <v>8</v>
      </c>
      <c r="J71" s="160">
        <f t="shared" ref="J71:J78" si="16">SUM(H71:I71)</f>
        <v>17</v>
      </c>
      <c r="K71" s="158">
        <v>13</v>
      </c>
      <c r="L71" s="159">
        <v>0</v>
      </c>
      <c r="M71" s="159">
        <v>0</v>
      </c>
      <c r="N71" s="159">
        <v>0</v>
      </c>
      <c r="O71" s="159">
        <v>0</v>
      </c>
      <c r="P71" s="159">
        <v>1</v>
      </c>
      <c r="Q71" s="160">
        <v>3</v>
      </c>
      <c r="R71" s="158">
        <v>7</v>
      </c>
      <c r="S71" s="159">
        <v>10</v>
      </c>
      <c r="T71" s="181">
        <v>0</v>
      </c>
      <c r="U71" s="79">
        <f t="shared" si="15"/>
        <v>17</v>
      </c>
      <c r="V71" s="82">
        <f>G71/R71</f>
        <v>15</v>
      </c>
      <c r="W71" s="83">
        <f>(108*10)/G71</f>
        <v>10.285714285714286</v>
      </c>
      <c r="X71" s="79">
        <v>48</v>
      </c>
      <c r="Y71" s="84">
        <v>75</v>
      </c>
      <c r="Z71" s="85">
        <v>4</v>
      </c>
      <c r="AA71" s="86">
        <v>2</v>
      </c>
      <c r="AB71" s="117"/>
      <c r="AC71" s="196"/>
    </row>
    <row r="72" spans="1:29" ht="21" customHeight="1" x14ac:dyDescent="0.3">
      <c r="A72" s="114">
        <v>70</v>
      </c>
      <c r="B72" s="33">
        <v>2013</v>
      </c>
      <c r="C72" s="33" t="s">
        <v>27</v>
      </c>
      <c r="D72" s="20" t="s">
        <v>77</v>
      </c>
      <c r="E72" s="33" t="s">
        <v>97</v>
      </c>
      <c r="F72" s="81">
        <f>40*5</f>
        <v>200</v>
      </c>
      <c r="G72" s="80">
        <f>37+32+38+34+39</f>
        <v>180</v>
      </c>
      <c r="H72" s="158">
        <v>16</v>
      </c>
      <c r="I72" s="159">
        <v>23</v>
      </c>
      <c r="J72" s="160">
        <f t="shared" si="16"/>
        <v>39</v>
      </c>
      <c r="K72" s="158">
        <v>11</v>
      </c>
      <c r="L72" s="159">
        <v>0</v>
      </c>
      <c r="M72" s="159">
        <v>0</v>
      </c>
      <c r="N72" s="159">
        <v>0</v>
      </c>
      <c r="O72" s="159">
        <v>0</v>
      </c>
      <c r="P72" s="159">
        <v>1</v>
      </c>
      <c r="Q72" s="160">
        <v>1</v>
      </c>
      <c r="R72" s="158">
        <v>6</v>
      </c>
      <c r="S72" s="159">
        <v>14</v>
      </c>
      <c r="T72" s="181">
        <v>0</v>
      </c>
      <c r="U72" s="79">
        <f t="shared" si="15"/>
        <v>20</v>
      </c>
      <c r="V72" s="82">
        <f>G72/R72</f>
        <v>30</v>
      </c>
      <c r="W72" s="83">
        <f>1586.4/G72</f>
        <v>8.8133333333333344</v>
      </c>
      <c r="X72" s="79">
        <v>52</v>
      </c>
      <c r="Y72" s="84">
        <v>49.12</v>
      </c>
      <c r="Z72" s="85">
        <v>6</v>
      </c>
      <c r="AA72" s="86">
        <v>6</v>
      </c>
      <c r="AB72" s="113"/>
      <c r="AC72" s="193"/>
    </row>
    <row r="73" spans="1:29" ht="21" customHeight="1" x14ac:dyDescent="0.3">
      <c r="A73" s="114">
        <v>71</v>
      </c>
      <c r="B73" s="33">
        <v>2004</v>
      </c>
      <c r="C73" s="33" t="s">
        <v>27</v>
      </c>
      <c r="D73" s="27" t="s">
        <v>28</v>
      </c>
      <c r="E73" s="33" t="s">
        <v>78</v>
      </c>
      <c r="F73" s="81">
        <f>20+50+70*3</f>
        <v>280</v>
      </c>
      <c r="G73" s="80">
        <f>10+16+16+21+18</f>
        <v>81</v>
      </c>
      <c r="H73" s="158">
        <v>10</v>
      </c>
      <c r="I73" s="159">
        <v>2</v>
      </c>
      <c r="J73" s="160">
        <f t="shared" si="16"/>
        <v>12</v>
      </c>
      <c r="K73" s="158">
        <v>9</v>
      </c>
      <c r="L73" s="159">
        <v>0</v>
      </c>
      <c r="M73" s="159">
        <v>0</v>
      </c>
      <c r="N73" s="159">
        <v>0</v>
      </c>
      <c r="O73" s="159">
        <v>0</v>
      </c>
      <c r="P73" s="159">
        <v>0</v>
      </c>
      <c r="Q73" s="160">
        <v>6</v>
      </c>
      <c r="R73" s="158">
        <v>8</v>
      </c>
      <c r="S73" s="159">
        <v>8</v>
      </c>
      <c r="T73" s="181">
        <v>0</v>
      </c>
      <c r="U73" s="79">
        <f t="shared" si="15"/>
        <v>16</v>
      </c>
      <c r="V73" s="82">
        <f>G73/R73</f>
        <v>10.125</v>
      </c>
      <c r="W73" s="83">
        <f>1519.68/G73</f>
        <v>18.761481481481482</v>
      </c>
      <c r="X73" s="79">
        <v>54</v>
      </c>
      <c r="Y73" s="84">
        <v>77.400000000000006</v>
      </c>
      <c r="Z73" s="85">
        <v>3</v>
      </c>
      <c r="AA73" s="86">
        <v>1</v>
      </c>
      <c r="AB73" s="117"/>
      <c r="AC73" s="195" t="s">
        <v>93</v>
      </c>
    </row>
    <row r="74" spans="1:29" ht="21" customHeight="1" x14ac:dyDescent="0.3">
      <c r="A74" s="114">
        <v>72</v>
      </c>
      <c r="B74" s="33">
        <v>2001</v>
      </c>
      <c r="C74" s="33" t="s">
        <v>27</v>
      </c>
      <c r="D74" s="20" t="s">
        <v>28</v>
      </c>
      <c r="E74" s="33" t="s">
        <v>75</v>
      </c>
      <c r="F74" s="81">
        <f>34+36+39+43+36</f>
        <v>188</v>
      </c>
      <c r="G74" s="80">
        <f>29+29+37+28+24</f>
        <v>147</v>
      </c>
      <c r="H74" s="158">
        <v>20</v>
      </c>
      <c r="I74" s="159">
        <v>18</v>
      </c>
      <c r="J74" s="160">
        <f t="shared" ref="J74:J78" si="17">SUM(H74:I74)</f>
        <v>38</v>
      </c>
      <c r="K74" s="158">
        <v>17</v>
      </c>
      <c r="L74" s="159">
        <v>0</v>
      </c>
      <c r="M74" s="159">
        <v>0</v>
      </c>
      <c r="N74" s="159">
        <v>1</v>
      </c>
      <c r="O74" s="159">
        <v>0</v>
      </c>
      <c r="P74" s="159">
        <v>0</v>
      </c>
      <c r="Q74" s="160">
        <v>20</v>
      </c>
      <c r="R74" s="158">
        <v>5</v>
      </c>
      <c r="S74" s="159">
        <v>12</v>
      </c>
      <c r="T74" s="181">
        <v>0</v>
      </c>
      <c r="U74" s="79">
        <f t="shared" si="15"/>
        <v>17</v>
      </c>
      <c r="V74" s="82">
        <f>G74/R74</f>
        <v>29.4</v>
      </c>
      <c r="W74" s="83">
        <f>1863/G74</f>
        <v>12.673469387755102</v>
      </c>
      <c r="X74" s="79">
        <v>52</v>
      </c>
      <c r="Y74" s="84">
        <v>85.5</v>
      </c>
      <c r="Z74" s="85">
        <v>3</v>
      </c>
      <c r="AA74" s="86">
        <v>2</v>
      </c>
      <c r="AB74" s="117"/>
      <c r="AC74" s="196"/>
    </row>
    <row r="75" spans="1:29" ht="21" customHeight="1" x14ac:dyDescent="0.3">
      <c r="A75" s="118">
        <v>73</v>
      </c>
      <c r="B75" s="61">
        <v>2003</v>
      </c>
      <c r="C75" s="61" t="s">
        <v>94</v>
      </c>
      <c r="D75" s="48" t="s">
        <v>95</v>
      </c>
      <c r="E75" s="61" t="s">
        <v>96</v>
      </c>
      <c r="F75" s="94"/>
      <c r="G75" s="93">
        <f>149/2+75+46+50+52</f>
        <v>297.5</v>
      </c>
      <c r="H75" s="163">
        <v>21</v>
      </c>
      <c r="I75" s="164">
        <v>15</v>
      </c>
      <c r="J75" s="160">
        <f t="shared" si="17"/>
        <v>36</v>
      </c>
      <c r="K75" s="163">
        <v>16</v>
      </c>
      <c r="L75" s="164">
        <v>2</v>
      </c>
      <c r="M75" s="164">
        <v>0</v>
      </c>
      <c r="N75" s="164">
        <v>0</v>
      </c>
      <c r="O75" s="164">
        <v>1</v>
      </c>
      <c r="P75" s="164">
        <v>0</v>
      </c>
      <c r="Q75" s="173">
        <v>1</v>
      </c>
      <c r="R75" s="163">
        <v>8</v>
      </c>
      <c r="S75" s="164">
        <v>32</v>
      </c>
      <c r="T75" s="183">
        <v>1</v>
      </c>
      <c r="U75" s="92">
        <f t="shared" si="15"/>
        <v>41</v>
      </c>
      <c r="V75" s="82">
        <f>G75/R75</f>
        <v>37.1875</v>
      </c>
      <c r="W75" s="83">
        <f>1072.2/G75</f>
        <v>3.6040336134453783</v>
      </c>
      <c r="X75" s="92">
        <v>50</v>
      </c>
      <c r="Y75" s="84">
        <v>42.9</v>
      </c>
      <c r="Z75" s="95">
        <v>0</v>
      </c>
      <c r="AA75" s="96">
        <v>0</v>
      </c>
      <c r="AB75" s="119"/>
      <c r="AC75" s="195" t="s">
        <v>98</v>
      </c>
    </row>
    <row r="76" spans="1:29" ht="21" customHeight="1" x14ac:dyDescent="0.3">
      <c r="A76" s="118">
        <v>74</v>
      </c>
      <c r="B76" s="61">
        <v>2005</v>
      </c>
      <c r="C76" s="61" t="s">
        <v>94</v>
      </c>
      <c r="D76" s="48" t="s">
        <v>95</v>
      </c>
      <c r="E76" s="61" t="s">
        <v>96</v>
      </c>
      <c r="F76" s="94">
        <v>50</v>
      </c>
      <c r="G76" s="93">
        <f>30+29+23+24+25</f>
        <v>131</v>
      </c>
      <c r="H76" s="163">
        <v>20</v>
      </c>
      <c r="I76" s="164">
        <v>6</v>
      </c>
      <c r="J76" s="160">
        <f t="shared" si="17"/>
        <v>26</v>
      </c>
      <c r="K76" s="163">
        <v>21</v>
      </c>
      <c r="L76" s="164">
        <v>2</v>
      </c>
      <c r="M76" s="164">
        <v>0</v>
      </c>
      <c r="N76" s="164">
        <v>0</v>
      </c>
      <c r="O76" s="164">
        <v>0</v>
      </c>
      <c r="P76" s="164">
        <v>2</v>
      </c>
      <c r="Q76" s="173">
        <v>21</v>
      </c>
      <c r="R76" s="163">
        <v>5</v>
      </c>
      <c r="S76" s="164">
        <v>11</v>
      </c>
      <c r="T76" s="183">
        <v>0</v>
      </c>
      <c r="U76" s="92">
        <f t="shared" si="15"/>
        <v>16</v>
      </c>
      <c r="V76" s="82">
        <f>G76/R76</f>
        <v>26.2</v>
      </c>
      <c r="W76" s="83">
        <f>(178.8*2+115.2*8)/G76</f>
        <v>9.7648854961832061</v>
      </c>
      <c r="X76" s="92">
        <v>60</v>
      </c>
      <c r="Y76" s="84">
        <v>61.27</v>
      </c>
      <c r="Z76" s="95">
        <v>6</v>
      </c>
      <c r="AA76" s="96">
        <v>6</v>
      </c>
      <c r="AB76" s="119"/>
      <c r="AC76" s="197" t="s">
        <v>99</v>
      </c>
    </row>
    <row r="77" spans="1:29" ht="21" customHeight="1" x14ac:dyDescent="0.3">
      <c r="A77" s="118">
        <v>75</v>
      </c>
      <c r="B77" s="61">
        <v>1998</v>
      </c>
      <c r="C77" s="61" t="s">
        <v>100</v>
      </c>
      <c r="D77" s="27" t="s">
        <v>39</v>
      </c>
      <c r="E77" s="61" t="s">
        <v>101</v>
      </c>
      <c r="F77" s="94"/>
      <c r="G77" s="93">
        <f>15+11+1</f>
        <v>27</v>
      </c>
      <c r="H77" s="163">
        <v>6</v>
      </c>
      <c r="I77" s="164">
        <v>8</v>
      </c>
      <c r="J77" s="160">
        <f t="shared" si="17"/>
        <v>14</v>
      </c>
      <c r="K77" s="163">
        <v>10</v>
      </c>
      <c r="L77" s="164">
        <v>0</v>
      </c>
      <c r="M77" s="164">
        <v>0</v>
      </c>
      <c r="N77" s="164">
        <v>0</v>
      </c>
      <c r="O77" s="164">
        <v>0</v>
      </c>
      <c r="P77" s="164">
        <v>0</v>
      </c>
      <c r="Q77" s="173">
        <v>4</v>
      </c>
      <c r="R77" s="163">
        <v>3</v>
      </c>
      <c r="S77" s="164">
        <v>9</v>
      </c>
      <c r="T77" s="183">
        <v>0</v>
      </c>
      <c r="U77" s="92">
        <f t="shared" si="15"/>
        <v>12</v>
      </c>
      <c r="V77" s="82">
        <f>G77/R77</f>
        <v>9</v>
      </c>
      <c r="W77" s="83">
        <f>194.154+194.154/G77</f>
        <v>201.34488888888887</v>
      </c>
      <c r="X77" s="92">
        <v>12</v>
      </c>
      <c r="Y77" s="84">
        <v>137.44999999999999</v>
      </c>
      <c r="Z77" s="95">
        <v>23</v>
      </c>
      <c r="AA77" s="96">
        <v>11</v>
      </c>
      <c r="AB77" s="119"/>
      <c r="AC77" s="198"/>
    </row>
    <row r="78" spans="1:29" ht="21" customHeight="1" thickBot="1" x14ac:dyDescent="0.35">
      <c r="A78" s="120">
        <v>76</v>
      </c>
      <c r="B78" s="54">
        <v>2023</v>
      </c>
      <c r="C78" s="54" t="s">
        <v>94</v>
      </c>
      <c r="D78" s="47" t="s">
        <v>39</v>
      </c>
      <c r="E78" s="54" t="s">
        <v>102</v>
      </c>
      <c r="F78" s="123"/>
      <c r="G78" s="122">
        <f>20+9+3+1</f>
        <v>33</v>
      </c>
      <c r="H78" s="165">
        <v>5</v>
      </c>
      <c r="I78" s="166">
        <v>4</v>
      </c>
      <c r="J78" s="167">
        <f t="shared" si="17"/>
        <v>9</v>
      </c>
      <c r="K78" s="165">
        <v>7</v>
      </c>
      <c r="L78" s="166">
        <v>0</v>
      </c>
      <c r="M78" s="166">
        <v>0</v>
      </c>
      <c r="N78" s="166">
        <v>0</v>
      </c>
      <c r="O78" s="166">
        <v>0</v>
      </c>
      <c r="P78" s="166">
        <v>0</v>
      </c>
      <c r="Q78" s="167">
        <v>2</v>
      </c>
      <c r="R78" s="165">
        <v>5</v>
      </c>
      <c r="S78" s="166">
        <v>8</v>
      </c>
      <c r="T78" s="184">
        <v>3</v>
      </c>
      <c r="U78" s="121">
        <f t="shared" si="15"/>
        <v>16</v>
      </c>
      <c r="V78" s="124">
        <f>G78/R78</f>
        <v>6.6</v>
      </c>
      <c r="W78" s="125">
        <f>150/G78</f>
        <v>4.5454545454545459</v>
      </c>
      <c r="X78" s="121">
        <v>12</v>
      </c>
      <c r="Y78" s="126">
        <f>(72+80)/2</f>
        <v>76</v>
      </c>
      <c r="Z78" s="127">
        <v>43</v>
      </c>
      <c r="AA78" s="128">
        <v>24</v>
      </c>
      <c r="AB78" s="129"/>
      <c r="AC78" s="199"/>
    </row>
  </sheetData>
  <autoFilter ref="A1:AC72" xr:uid="{00000000-0009-0000-0000-000000000000}">
    <filterColumn colId="7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5" showButton="0"/>
    <filterColumn colId="26" showButton="0"/>
  </autoFilter>
  <mergeCells count="15">
    <mergeCell ref="B1:B2"/>
    <mergeCell ref="C1:C2"/>
    <mergeCell ref="D1:D2"/>
    <mergeCell ref="E1:E2"/>
    <mergeCell ref="AC1:AC2"/>
    <mergeCell ref="W1:W2"/>
    <mergeCell ref="X1:X2"/>
    <mergeCell ref="Y1:Y2"/>
    <mergeCell ref="F1:F2"/>
    <mergeCell ref="G1:G2"/>
    <mergeCell ref="H1:J1"/>
    <mergeCell ref="K1:Q1"/>
    <mergeCell ref="R1:U1"/>
    <mergeCell ref="V1:V2"/>
    <mergeCell ref="Z1:AB1"/>
  </mergeCells>
  <phoneticPr fontId="1" type="noConversion"/>
  <pageMargins left="0.7" right="0.7" top="0.75" bottom="0.75" header="0.3" footer="0.3"/>
  <pageSetup paperSize="8" scale="56" fitToHeight="2" orientation="portrait" r:id="rId1"/>
  <ignoredErrors>
    <ignoredError sqref="J5 U3:U6" formulaRange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인적자원, 정보자원, 스튜디오 현황 (2024.02)</vt:lpstr>
      <vt:lpstr>'인적자원, 정보자원, 스튜디오 현황 (2024.02)'!Print_Area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건인원</dc:creator>
  <cp:lastModifiedBy>SEOL PARK</cp:lastModifiedBy>
  <cp:lastPrinted>2025-07-08T05:08:56Z</cp:lastPrinted>
  <dcterms:created xsi:type="dcterms:W3CDTF">2012-04-23T05:09:05Z</dcterms:created>
  <dcterms:modified xsi:type="dcterms:W3CDTF">2025-07-08T05:09:09Z</dcterms:modified>
</cp:coreProperties>
</file>