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건인원 사무국\연례보고서 통계자료\"/>
    </mc:Choice>
  </mc:AlternateContent>
  <xr:revisionPtr revIDLastSave="0" documentId="13_ncr:1_{18A1B635-6CB5-4BA9-B2DB-A396E312A60B}" xr6:coauthVersionLast="47" xr6:coauthVersionMax="47" xr10:uidLastSave="{00000000-0000-0000-0000-000000000000}"/>
  <bookViews>
    <workbookView xWindow="28680" yWindow="-135" windowWidth="29040" windowHeight="15840" xr2:uid="{00000000-000D-0000-FFFF-FFFF00000000}"/>
  </bookViews>
  <sheets>
    <sheet name="인적자원, 정보자원, 스튜디오 현황 (2023.02)" sheetId="4" r:id="rId1"/>
    <sheet name="Sheet1" sheetId="5" r:id="rId2"/>
  </sheets>
  <definedNames>
    <definedName name="_xlnm._FilterDatabase" localSheetId="0" hidden="1">'인적자원, 정보자원, 스튜디오 현황 (2023.02)'!$A$1:$AI$71</definedName>
  </definedNames>
  <calcPr calcId="181029"/>
</workbook>
</file>

<file path=xl/calcChain.xml><?xml version="1.0" encoding="utf-8"?>
<calcChain xmlns="http://schemas.openxmlformats.org/spreadsheetml/2006/main">
  <c r="K41" i="4" l="1"/>
  <c r="K42" i="4"/>
  <c r="O7" i="4"/>
  <c r="K7" i="4"/>
  <c r="L7" i="4"/>
  <c r="AB7" i="4" s="1"/>
  <c r="AA7" i="4"/>
  <c r="AC7" i="4" l="1"/>
  <c r="L65" i="4"/>
  <c r="N64" i="4"/>
  <c r="L64" i="4"/>
  <c r="AC64" i="4" s="1"/>
  <c r="K64" i="4"/>
  <c r="AE63" i="4"/>
  <c r="L63" i="4"/>
  <c r="AC63" i="4" s="1"/>
  <c r="K63" i="4"/>
  <c r="L58" i="4"/>
  <c r="K58" i="4"/>
  <c r="AE61" i="4"/>
  <c r="L61" i="4"/>
  <c r="L60" i="4"/>
  <c r="AC60" i="4" s="1"/>
  <c r="K60" i="4"/>
  <c r="L59" i="4"/>
  <c r="AC59" i="4" s="1"/>
  <c r="K59" i="4"/>
  <c r="L57" i="4"/>
  <c r="AC57" i="4" s="1"/>
  <c r="L56" i="4"/>
  <c r="AC56" i="4" s="1"/>
  <c r="L55" i="4"/>
  <c r="AC55" i="4" s="1"/>
  <c r="K55" i="4"/>
  <c r="L54" i="4"/>
  <c r="AC54" i="4" s="1"/>
  <c r="K54" i="4"/>
  <c r="L53" i="4"/>
  <c r="AC53" i="4" s="1"/>
  <c r="L52" i="4" l="1"/>
  <c r="AC52" i="4" s="1"/>
  <c r="K52" i="4"/>
  <c r="AE51" i="4"/>
  <c r="L51" i="4"/>
  <c r="AC51" i="4" s="1"/>
  <c r="K51" i="4"/>
  <c r="L50" i="4"/>
  <c r="AC50" i="4" s="1"/>
  <c r="K50" i="4"/>
  <c r="AE49" i="4"/>
  <c r="N49" i="4"/>
  <c r="L49" i="4"/>
  <c r="AC49" i="4" s="1"/>
  <c r="K49" i="4"/>
  <c r="AC48" i="4"/>
  <c r="L48" i="4"/>
  <c r="K48" i="4"/>
  <c r="L71" i="4" l="1"/>
  <c r="AC71" i="4" s="1"/>
  <c r="K71" i="4"/>
  <c r="L47" i="4"/>
  <c r="AC47" i="4" s="1"/>
  <c r="L46" i="4"/>
  <c r="AC46" i="4" s="1"/>
  <c r="K46" i="4"/>
  <c r="L67" i="4"/>
  <c r="AC67" i="4" s="1"/>
  <c r="P74" i="4"/>
  <c r="N74" i="4"/>
  <c r="L74" i="4"/>
  <c r="AC74" i="4" s="1"/>
  <c r="K74" i="4"/>
  <c r="AE45" i="4"/>
  <c r="P45" i="4"/>
  <c r="N45" i="4"/>
  <c r="L45" i="4"/>
  <c r="AC45" i="4" s="1"/>
  <c r="L44" i="4"/>
  <c r="AC44" i="4" s="1"/>
  <c r="K44" i="4"/>
  <c r="AD43" i="4"/>
  <c r="L43" i="4"/>
  <c r="AC43" i="4" s="1"/>
  <c r="K43" i="4"/>
  <c r="L42" i="4"/>
  <c r="AC42" i="4" s="1"/>
  <c r="L41" i="4"/>
  <c r="AC41" i="4" s="1"/>
  <c r="L40" i="4"/>
  <c r="AC40" i="4" s="1"/>
  <c r="L73" i="4"/>
  <c r="AC73" i="4" s="1"/>
  <c r="K73" i="4"/>
  <c r="L39" i="4"/>
  <c r="AC39" i="4" s="1"/>
  <c r="K39" i="4"/>
  <c r="AE72" i="4"/>
  <c r="L72" i="4"/>
  <c r="AC72" i="4" s="1"/>
  <c r="K72" i="4"/>
  <c r="L38" i="4"/>
  <c r="AC38" i="4" s="1"/>
  <c r="K38" i="4"/>
  <c r="V37" i="4"/>
  <c r="P37" i="4"/>
  <c r="N37" i="4"/>
  <c r="M37" i="4"/>
  <c r="L37" i="4"/>
  <c r="AC37" i="4" s="1"/>
  <c r="K37" i="4"/>
  <c r="M36" i="4"/>
  <c r="L36" i="4"/>
  <c r="AC36" i="4" s="1"/>
  <c r="K36" i="4"/>
  <c r="L35" i="4"/>
  <c r="AC35" i="4" s="1"/>
  <c r="K35" i="4"/>
  <c r="L34" i="4"/>
  <c r="K34" i="4"/>
  <c r="AC34" i="4" s="1"/>
  <c r="L33" i="4"/>
  <c r="AC33" i="4" s="1"/>
  <c r="K33" i="4"/>
  <c r="P32" i="4"/>
  <c r="L32" i="4"/>
  <c r="AC32" i="4" s="1"/>
  <c r="K32" i="4"/>
  <c r="AF31" i="4"/>
  <c r="L31" i="4"/>
  <c r="AC31" i="4" s="1"/>
  <c r="K31" i="4"/>
  <c r="V30" i="4"/>
  <c r="P30" i="4"/>
  <c r="N30" i="4"/>
  <c r="M30" i="4"/>
  <c r="L30" i="4"/>
  <c r="AC30" i="4" s="1"/>
  <c r="K30" i="4" l="1"/>
  <c r="AE29" i="4"/>
  <c r="N29" i="4"/>
  <c r="L29" i="4"/>
  <c r="AC29" i="4" s="1"/>
  <c r="K29" i="4"/>
  <c r="AC28" i="4"/>
  <c r="N28" i="4"/>
  <c r="M28" i="4"/>
  <c r="L28" i="4"/>
  <c r="K28" i="4"/>
  <c r="AE27" i="4"/>
  <c r="AC27" i="4"/>
  <c r="L27" i="4"/>
  <c r="K27" i="4"/>
  <c r="L68" i="4"/>
  <c r="AC68" i="4" s="1"/>
  <c r="K68" i="4"/>
  <c r="L25" i="4"/>
  <c r="AC25" i="4" s="1"/>
  <c r="K25" i="4"/>
  <c r="M26" i="4"/>
  <c r="L26" i="4"/>
  <c r="AC26" i="4" s="1"/>
  <c r="K26" i="4"/>
  <c r="L24" i="4"/>
  <c r="AC24" i="4" s="1"/>
  <c r="AE23" i="4"/>
  <c r="L23" i="4"/>
  <c r="AC23" i="4" s="1"/>
  <c r="K23" i="4"/>
  <c r="L22" i="4"/>
  <c r="AC22" i="4" s="1"/>
  <c r="K22" i="4"/>
  <c r="L21" i="4"/>
  <c r="AC21" i="4" s="1"/>
  <c r="L20" i="4"/>
  <c r="AC20" i="4" s="1"/>
  <c r="L19" i="4"/>
  <c r="AC19" i="4" s="1"/>
  <c r="L18" i="4"/>
  <c r="AC18" i="4" s="1"/>
  <c r="L17" i="4"/>
  <c r="AC17" i="4" s="1"/>
  <c r="K17" i="4"/>
  <c r="AA17" i="4"/>
  <c r="M16" i="4"/>
  <c r="L16" i="4"/>
  <c r="AC16" i="4" s="1"/>
  <c r="L15" i="4"/>
  <c r="AC15" i="4" s="1"/>
  <c r="K15" i="4"/>
  <c r="L14" i="4"/>
  <c r="AC14" i="4" s="1"/>
  <c r="AE13" i="4"/>
  <c r="P13" i="4"/>
  <c r="N13" i="4"/>
  <c r="M13" i="4"/>
  <c r="L13" i="4"/>
  <c r="AC13" i="4" s="1"/>
  <c r="K13" i="4"/>
  <c r="M12" i="4"/>
  <c r="L12" i="4"/>
  <c r="AC12" i="4" s="1"/>
  <c r="AE11" i="4"/>
  <c r="L11" i="4"/>
  <c r="AC11" i="4" s="1"/>
  <c r="AC10" i="4"/>
  <c r="L10" i="4"/>
  <c r="AE66" i="4"/>
  <c r="L66" i="4"/>
  <c r="K66" i="4"/>
  <c r="AE70" i="4"/>
  <c r="AC70" i="4"/>
  <c r="L70" i="4"/>
  <c r="AB70" i="4" s="1"/>
  <c r="L69" i="4"/>
  <c r="AB69" i="4" s="1"/>
  <c r="AC69" i="4"/>
  <c r="AA69" i="4"/>
  <c r="AB71" i="4"/>
  <c r="AB72" i="4"/>
  <c r="AB73" i="4"/>
  <c r="AB74" i="4"/>
  <c r="AA70" i="4"/>
  <c r="AA71" i="4"/>
  <c r="AA72" i="4"/>
  <c r="AA73" i="4"/>
  <c r="AA74" i="4"/>
  <c r="AE9" i="4"/>
  <c r="P9" i="4"/>
  <c r="N9" i="4"/>
  <c r="M9" i="4"/>
  <c r="L9" i="4"/>
  <c r="AC9" i="4" s="1"/>
  <c r="K9" i="4"/>
  <c r="AC8" i="4"/>
  <c r="L8" i="4"/>
  <c r="AE5" i="4"/>
  <c r="AC6" i="4"/>
  <c r="N6" i="4"/>
  <c r="L6" i="4"/>
  <c r="K6" i="4"/>
  <c r="AC5" i="4"/>
  <c r="AC66" i="4" l="1"/>
  <c r="AC65" i="4"/>
  <c r="AC3" i="4"/>
  <c r="AC4" i="4"/>
  <c r="L4" i="4"/>
  <c r="K4" i="4"/>
  <c r="L3" i="4" l="1"/>
  <c r="O74" i="4"/>
  <c r="O73" i="4"/>
  <c r="O72" i="4"/>
  <c r="O29" i="4"/>
  <c r="O26" i="4"/>
  <c r="O27" i="4"/>
  <c r="O65" i="4" l="1"/>
  <c r="O71" i="4"/>
  <c r="O70" i="4"/>
  <c r="J10" i="5" l="1"/>
  <c r="J9" i="5"/>
  <c r="J8" i="5"/>
  <c r="J7" i="5"/>
  <c r="J6" i="5"/>
  <c r="J5" i="5"/>
  <c r="J4" i="5"/>
  <c r="J3" i="5"/>
  <c r="J2" i="5"/>
  <c r="J1" i="5"/>
  <c r="O67" i="4" l="1"/>
  <c r="AA67" i="4"/>
  <c r="AB67" i="4"/>
  <c r="AB68" i="4"/>
  <c r="O68" i="4"/>
  <c r="AA68" i="4"/>
  <c r="O20" i="4"/>
  <c r="O66" i="4"/>
  <c r="O57" i="4" l="1"/>
  <c r="O21" i="4" l="1"/>
  <c r="AA66" i="4"/>
  <c r="AB66" i="4"/>
  <c r="O60" i="4"/>
  <c r="A3" i="5" l="1"/>
  <c r="O38" i="4" l="1"/>
  <c r="AB38" i="4"/>
  <c r="AA38" i="4"/>
  <c r="A11" i="5" l="1"/>
  <c r="O59" i="4" l="1"/>
  <c r="O52" i="4"/>
  <c r="AB52" i="4"/>
  <c r="AA52" i="4"/>
  <c r="O31" i="4" l="1"/>
  <c r="AB31" i="4"/>
  <c r="AA31" i="4"/>
  <c r="O25" i="4" l="1"/>
  <c r="AB25" i="4"/>
  <c r="AA25" i="4"/>
  <c r="AB21" i="4"/>
  <c r="AA21" i="4"/>
  <c r="AB20" i="4"/>
  <c r="AA20" i="4"/>
  <c r="O17" i="4"/>
  <c r="AB17" i="4"/>
  <c r="O11" i="4"/>
  <c r="AB11" i="4"/>
  <c r="AA11" i="4"/>
  <c r="AA48" i="4" l="1"/>
  <c r="AB48" i="4"/>
  <c r="O48" i="4"/>
  <c r="O64" i="4" l="1"/>
  <c r="AA42" i="4" l="1"/>
  <c r="C11" i="5" l="1"/>
  <c r="O28" i="4"/>
  <c r="AB28" i="4"/>
  <c r="AA28" i="4"/>
  <c r="O16" i="4"/>
  <c r="AB16" i="4"/>
  <c r="AA16" i="4"/>
  <c r="B11" i="5"/>
  <c r="B13" i="5" s="1"/>
  <c r="B12" i="5" l="1"/>
  <c r="AB59" i="4" l="1"/>
  <c r="AA59" i="4"/>
  <c r="AB58" i="4"/>
  <c r="AA58" i="4"/>
  <c r="AA44" i="4" l="1"/>
  <c r="AB44" i="4"/>
  <c r="O44" i="4"/>
  <c r="AB32" i="4"/>
  <c r="AB5" i="4" l="1"/>
  <c r="AA5" i="4"/>
  <c r="O5" i="4"/>
  <c r="AB19" i="4"/>
  <c r="AA19" i="4"/>
  <c r="O19" i="4"/>
  <c r="AB10" i="4"/>
  <c r="AA10" i="4"/>
  <c r="O10" i="4"/>
  <c r="AB13" i="4"/>
  <c r="AA13" i="4"/>
  <c r="O13" i="4"/>
  <c r="AB3" i="4"/>
  <c r="AA3" i="4"/>
  <c r="O3" i="4"/>
  <c r="AB14" i="4"/>
  <c r="AA14" i="4"/>
  <c r="O14" i="4"/>
  <c r="AB24" i="4"/>
  <c r="AA24" i="4"/>
  <c r="O24" i="4"/>
  <c r="AB46" i="4"/>
  <c r="AA46" i="4"/>
  <c r="O46" i="4"/>
  <c r="AB51" i="4"/>
  <c r="AA51" i="4"/>
  <c r="O51" i="4"/>
  <c r="AB65" i="4"/>
  <c r="AA65" i="4"/>
  <c r="AB64" i="4"/>
  <c r="AA64" i="4"/>
  <c r="AB63" i="4"/>
  <c r="AA63" i="4"/>
  <c r="O63" i="4"/>
  <c r="AB62" i="4"/>
  <c r="AA62" i="4"/>
  <c r="O62" i="4"/>
  <c r="AB61" i="4"/>
  <c r="AA61" i="4"/>
  <c r="O61" i="4"/>
  <c r="AB60" i="4"/>
  <c r="AA60" i="4"/>
  <c r="AB56" i="4"/>
  <c r="AA56" i="4"/>
  <c r="O56" i="4"/>
  <c r="AB57" i="4"/>
  <c r="AA57" i="4"/>
  <c r="AB55" i="4"/>
  <c r="AA55" i="4"/>
  <c r="O55" i="4"/>
  <c r="AB54" i="4"/>
  <c r="AA54" i="4"/>
  <c r="O54" i="4"/>
  <c r="AB53" i="4"/>
  <c r="AA53" i="4"/>
  <c r="O53" i="4"/>
  <c r="AB49" i="4"/>
  <c r="AA49" i="4"/>
  <c r="O49" i="4"/>
  <c r="AB50" i="4"/>
  <c r="AA50" i="4"/>
  <c r="O50" i="4"/>
  <c r="AB47" i="4"/>
  <c r="AA47" i="4"/>
  <c r="O47" i="4"/>
  <c r="AB45" i="4"/>
  <c r="AA45" i="4"/>
  <c r="O45" i="4"/>
  <c r="AB43" i="4"/>
  <c r="AA43" i="4"/>
  <c r="O43" i="4"/>
  <c r="AB42" i="4"/>
  <c r="O42" i="4"/>
  <c r="AB41" i="4"/>
  <c r="AA41" i="4"/>
  <c r="O41" i="4"/>
  <c r="AB40" i="4"/>
  <c r="AA40" i="4"/>
  <c r="O40" i="4"/>
  <c r="AB39" i="4"/>
  <c r="AA39" i="4"/>
  <c r="O39" i="4"/>
  <c r="AB37" i="4"/>
  <c r="AA37" i="4"/>
  <c r="O37" i="4"/>
  <c r="AB36" i="4"/>
  <c r="AA36" i="4"/>
  <c r="O36" i="4"/>
  <c r="AB35" i="4"/>
  <c r="AA35" i="4"/>
  <c r="O35" i="4"/>
  <c r="AB34" i="4"/>
  <c r="AA34" i="4"/>
  <c r="O34" i="4"/>
  <c r="AB33" i="4"/>
  <c r="AA33" i="4"/>
  <c r="O33" i="4"/>
  <c r="AA32" i="4"/>
  <c r="O32" i="4"/>
  <c r="AB30" i="4"/>
  <c r="AA30" i="4"/>
  <c r="O30" i="4"/>
  <c r="AB29" i="4"/>
  <c r="AA29" i="4"/>
  <c r="AB27" i="4"/>
  <c r="AA27" i="4"/>
  <c r="AB26" i="4"/>
  <c r="AA26" i="4"/>
  <c r="AB23" i="4"/>
  <c r="AA23" i="4"/>
  <c r="O23" i="4"/>
  <c r="AB22" i="4"/>
  <c r="AA22" i="4"/>
  <c r="O22" i="4"/>
  <c r="AB18" i="4"/>
  <c r="AA18" i="4"/>
  <c r="O18" i="4"/>
  <c r="AB15" i="4"/>
  <c r="AA15" i="4"/>
  <c r="O15" i="4"/>
  <c r="AB12" i="4"/>
  <c r="AA12" i="4"/>
  <c r="O12" i="4"/>
  <c r="AB9" i="4"/>
  <c r="AA9" i="4"/>
  <c r="O9" i="4"/>
  <c r="AB8" i="4"/>
  <c r="AA8" i="4"/>
  <c r="O8" i="4"/>
  <c r="AB6" i="4"/>
  <c r="AA6" i="4"/>
  <c r="O6" i="4"/>
  <c r="AB4" i="4"/>
  <c r="AA4" i="4"/>
  <c r="O4" i="4"/>
  <c r="O5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kaab3</author>
  </authors>
  <commentList>
    <comment ref="K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학부일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</text>
    </comment>
    <comment ref="L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휴학생제외</t>
        </r>
        <r>
          <rPr>
            <sz val="9"/>
            <color indexed="81"/>
            <rFont val="Tahoma"/>
            <family val="2"/>
          </rPr>
          <t>)</t>
        </r>
      </text>
    </comment>
    <comment ref="M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직전연도</t>
        </r>
        <r>
          <rPr>
            <sz val="9"/>
            <color indexed="81"/>
            <rFont val="Tahoma"/>
            <family val="2"/>
          </rPr>
          <t xml:space="preserve"> 8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졸업생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해당연도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졸업생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</text>
    </comment>
    <comment ref="AC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총면적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수강생수
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AE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주당수업시간</t>
        </r>
        <r>
          <rPr>
            <sz val="9"/>
            <color indexed="81"/>
            <rFont val="Tahoma"/>
            <family val="2"/>
          </rPr>
          <t>/(</t>
        </r>
        <r>
          <rPr>
            <sz val="9"/>
            <color indexed="81"/>
            <rFont val="돋움"/>
            <family val="3"/>
            <charset val="129"/>
          </rPr>
          <t>수강생수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교수수</t>
        </r>
        <r>
          <rPr>
            <sz val="9"/>
            <color indexed="81"/>
            <rFont val="Tahoma"/>
            <family val="2"/>
          </rPr>
          <t>)</t>
        </r>
      </text>
    </comment>
    <comment ref="AF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직전연도</t>
        </r>
        <r>
          <rPr>
            <sz val="9"/>
            <color indexed="81"/>
            <rFont val="Tahoma"/>
            <family val="2"/>
          </rPr>
          <t xml:space="preserve"> 8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편입생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해당연도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편입생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</text>
    </comment>
    <comment ref="K3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2018</t>
        </r>
        <r>
          <rPr>
            <sz val="9"/>
            <color indexed="81"/>
            <rFont val="돋움"/>
            <family val="3"/>
            <charset val="129"/>
          </rPr>
          <t>학년도부터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전공배정은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학기에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배정함</t>
        </r>
        <r>
          <rPr>
            <sz val="9"/>
            <color indexed="81"/>
            <rFont val="Tahoma"/>
            <family val="2"/>
          </rPr>
          <t>.</t>
        </r>
      </text>
    </comment>
    <comment ref="O3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2023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졸업생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학위취득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유예자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불포함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최</t>
        </r>
        <r>
          <rPr>
            <sz val="9"/>
            <color indexed="81"/>
            <rFont val="Tahoma"/>
            <family val="2"/>
          </rPr>
          <t xml:space="preserve">OO: </t>
        </r>
        <r>
          <rPr>
            <sz val="9"/>
            <color indexed="81"/>
            <rFont val="돋움"/>
            <family val="3"/>
            <charset val="129"/>
          </rPr>
          <t>취업마일리지</t>
        </r>
        <r>
          <rPr>
            <sz val="9"/>
            <color indexed="81"/>
            <rFont val="Tahoma"/>
            <family val="2"/>
          </rPr>
          <t xml:space="preserve"> Non Pass)</t>
        </r>
      </text>
    </comment>
    <comment ref="K37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55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, 2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(
</t>
        </r>
        <r>
          <rPr>
            <sz val="9"/>
            <color indexed="81"/>
            <rFont val="돋움"/>
            <family val="3"/>
            <charset val="129"/>
          </rPr>
          <t>신청자수</t>
        </r>
        <r>
          <rPr>
            <sz val="9"/>
            <color indexed="81"/>
            <rFont val="Tahoma"/>
            <family val="2"/>
          </rPr>
          <t>*2)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55%</t>
        </r>
      </text>
    </comment>
    <comment ref="K40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입학정원임
</t>
        </r>
      </text>
    </comment>
    <comment ref="K4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입학정원임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K42" authorId="0" shapeId="0" xr:uid="{A107CAB0-5EB5-4741-8A43-BBBA5BBD88E2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학부제로</t>
        </r>
        <r>
          <rPr>
            <sz val="9"/>
            <color indexed="81"/>
            <rFont val="Tahoma"/>
            <family val="2"/>
          </rPr>
          <t>, 3</t>
        </r>
        <r>
          <rPr>
            <sz val="9"/>
            <color indexed="81"/>
            <rFont val="돋움"/>
            <family val="3"/>
            <charset val="129"/>
          </rPr>
          <t>전공으로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분할
</t>
        </r>
      </text>
    </comment>
    <comment ref="AF4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학사관리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사유로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받아들지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</t>
        </r>
        <r>
          <rPr>
            <sz val="9"/>
            <color indexed="81"/>
            <rFont val="Tahoma"/>
            <family val="2"/>
          </rPr>
          <t>.</t>
        </r>
      </text>
    </comment>
    <comment ref="K4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건축학전공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정원은</t>
        </r>
        <r>
          <rPr>
            <sz val="9"/>
            <color indexed="81"/>
            <rFont val="Tahoma"/>
            <family val="2"/>
          </rPr>
          <t xml:space="preserve"> 32</t>
        </r>
        <r>
          <rPr>
            <sz val="9"/>
            <color indexed="81"/>
            <rFont val="돋움"/>
            <family val="3"/>
            <charset val="129"/>
          </rPr>
          <t>명이며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정원의</t>
        </r>
        <r>
          <rPr>
            <sz val="9"/>
            <color indexed="81"/>
            <rFont val="Tahoma"/>
            <family val="2"/>
          </rPr>
          <t xml:space="preserve"> 80%</t>
        </r>
        <r>
          <rPr>
            <sz val="9"/>
            <color indexed="81"/>
            <rFont val="돋움"/>
            <family val="3"/>
            <charset val="129"/>
          </rPr>
          <t>인</t>
        </r>
        <r>
          <rPr>
            <sz val="9"/>
            <color indexed="81"/>
            <rFont val="Tahoma"/>
            <family val="2"/>
          </rPr>
          <t xml:space="preserve"> 26</t>
        </r>
        <r>
          <rPr>
            <sz val="9"/>
            <color indexed="81"/>
            <rFont val="돋움"/>
            <family val="3"/>
            <charset val="129"/>
          </rPr>
          <t>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모집함</t>
        </r>
      </text>
    </comment>
    <comment ref="AF4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편입생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자료는</t>
        </r>
        <r>
          <rPr>
            <sz val="9"/>
            <color indexed="81"/>
            <rFont val="Tahoma"/>
            <family val="2"/>
          </rPr>
          <t xml:space="preserve"> 2022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자료임</t>
        </r>
      </text>
    </comment>
    <comment ref="K47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입학생정원은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학생기준임</t>
        </r>
        <r>
          <rPr>
            <sz val="9"/>
            <color indexed="81"/>
            <rFont val="Tahoma"/>
            <family val="2"/>
          </rPr>
          <t>.</t>
        </r>
      </text>
    </comment>
    <comment ref="AF48" authorId="0" shapeId="0" xr:uid="{92B77BF5-B049-4086-92A5-FF63315715A5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졸업생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편입생은</t>
        </r>
        <r>
          <rPr>
            <sz val="9"/>
            <color indexed="81"/>
            <rFont val="Tahoma"/>
            <family val="2"/>
          </rPr>
          <t xml:space="preserve"> 2022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기준임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K7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>, 2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입학정원임
</t>
        </r>
      </text>
    </comment>
  </commentList>
</comments>
</file>

<file path=xl/sharedStrings.xml><?xml version="1.0" encoding="utf-8"?>
<sst xmlns="http://schemas.openxmlformats.org/spreadsheetml/2006/main" count="543" uniqueCount="148">
  <si>
    <t>학과</t>
    <phoneticPr fontId="1" type="noConversion"/>
  </si>
  <si>
    <t>국립</t>
  </si>
  <si>
    <t>공과대학</t>
  </si>
  <si>
    <t>건축학/건축공학</t>
  </si>
  <si>
    <t>사립</t>
  </si>
  <si>
    <t>건축학</t>
  </si>
  <si>
    <t>건축대학</t>
  </si>
  <si>
    <t>시립</t>
  </si>
  <si>
    <t>도시과학대</t>
  </si>
  <si>
    <t>설계학점</t>
    <phoneticPr fontId="1" type="noConversion"/>
  </si>
  <si>
    <t>개설년도</t>
    <phoneticPr fontId="4" type="noConversion"/>
  </si>
  <si>
    <t>대학설립유형</t>
    <phoneticPr fontId="4" type="noConversion"/>
  </si>
  <si>
    <t>프로그램소속대학</t>
    <phoneticPr fontId="4" type="noConversion"/>
  </si>
  <si>
    <t>전공구성현황</t>
    <phoneticPr fontId="4" type="noConversion"/>
  </si>
  <si>
    <t>재학생
(건축학)</t>
    <phoneticPr fontId="1" type="noConversion"/>
  </si>
  <si>
    <t>졸업생</t>
    <phoneticPr fontId="1" type="noConversion"/>
  </si>
  <si>
    <t>교수현황</t>
    <phoneticPr fontId="1" type="noConversion"/>
  </si>
  <si>
    <t>전임교수 대비 재학생 비율</t>
    <phoneticPr fontId="2" type="noConversion"/>
  </si>
  <si>
    <t>스튜디오 1인당 면적(㎡)</t>
    <phoneticPr fontId="1" type="noConversion"/>
  </si>
  <si>
    <t>남</t>
    <phoneticPr fontId="1" type="noConversion"/>
  </si>
  <si>
    <t>여</t>
    <phoneticPr fontId="1" type="noConversion"/>
  </si>
  <si>
    <t>계</t>
    <phoneticPr fontId="1" type="noConversion"/>
  </si>
  <si>
    <t>전임</t>
    <phoneticPr fontId="1" type="noConversion"/>
  </si>
  <si>
    <t>비전임</t>
    <phoneticPr fontId="1" type="noConversion"/>
  </si>
  <si>
    <t>사립</t>
    <phoneticPr fontId="4" type="noConversion"/>
  </si>
  <si>
    <t>건축학/건축공학</t>
    <phoneticPr fontId="4" type="noConversion"/>
  </si>
  <si>
    <t>학부</t>
    <phoneticPr fontId="1" type="noConversion"/>
  </si>
  <si>
    <t>국립</t>
    <phoneticPr fontId="4" type="noConversion"/>
  </si>
  <si>
    <t>대학원</t>
    <phoneticPr fontId="1" type="noConversion"/>
  </si>
  <si>
    <t>공과대학</t>
    <phoneticPr fontId="4" type="noConversion"/>
  </si>
  <si>
    <t>사립</t>
    <phoneticPr fontId="1" type="noConversion"/>
  </si>
  <si>
    <t>공과대학</t>
    <phoneticPr fontId="1" type="noConversion"/>
  </si>
  <si>
    <t>과학기술대학</t>
    <phoneticPr fontId="1" type="noConversion"/>
  </si>
  <si>
    <t>건축학/건축공학</t>
    <phoneticPr fontId="1" type="noConversion"/>
  </si>
  <si>
    <t>국립</t>
    <phoneticPr fontId="1" type="noConversion"/>
  </si>
  <si>
    <t>설계사무소</t>
    <phoneticPr fontId="1" type="noConversion"/>
  </si>
  <si>
    <t>공무원</t>
    <phoneticPr fontId="1" type="noConversion"/>
  </si>
  <si>
    <t>유학</t>
    <phoneticPr fontId="1" type="noConversion"/>
  </si>
  <si>
    <t>기타</t>
    <phoneticPr fontId="1" type="noConversion"/>
  </si>
  <si>
    <t>건축사배출현황</t>
    <phoneticPr fontId="1" type="noConversion"/>
  </si>
  <si>
    <t>졸업생 취업현황</t>
    <phoneticPr fontId="1" type="noConversion"/>
  </si>
  <si>
    <t>개인지도시간평균(분)</t>
    <phoneticPr fontId="1" type="noConversion"/>
  </si>
  <si>
    <t>학부</t>
    <phoneticPr fontId="1" type="noConversion"/>
  </si>
  <si>
    <t>건설환경조형대학</t>
    <phoneticPr fontId="1" type="noConversion"/>
  </si>
  <si>
    <t>학과</t>
    <phoneticPr fontId="1" type="noConversion"/>
  </si>
  <si>
    <t>-</t>
    <phoneticPr fontId="1" type="noConversion"/>
  </si>
  <si>
    <t>비고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</si>
  <si>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</si>
  <si>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</si>
  <si>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</si>
  <si>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건축설계/건축시스템</t>
    <phoneticPr fontId="1" type="noConversion"/>
  </si>
  <si>
    <t>디자인환경대학</t>
    <phoneticPr fontId="1" type="noConversion"/>
  </si>
  <si>
    <t>건축학</t>
    <phoneticPr fontId="1" type="noConversion"/>
  </si>
  <si>
    <t>건축학/건축공학/도시공학/토목공학</t>
    <phoneticPr fontId="1" type="noConversion"/>
  </si>
  <si>
    <t>건축학/건축사회환경공학</t>
    <phoneticPr fontId="1" type="noConversion"/>
  </si>
  <si>
    <t>건축학</t>
    <phoneticPr fontId="1" type="noConversion"/>
  </si>
  <si>
    <t>건축학/건축공학/건축디자인</t>
    <phoneticPr fontId="1" type="noConversion"/>
  </si>
  <si>
    <t>디자인건축융합대학</t>
    <phoneticPr fontId="1" type="noConversion"/>
  </si>
  <si>
    <t>건축학/실내공간디자인학전공</t>
    <phoneticPr fontId="1" type="noConversion"/>
  </si>
  <si>
    <t>사립</t>
    <phoneticPr fontId="1" type="noConversion"/>
  </si>
  <si>
    <t>학과</t>
    <phoneticPr fontId="1" type="noConversion"/>
  </si>
  <si>
    <t>건축도시설계/건축공학</t>
    <phoneticPr fontId="1" type="noConversion"/>
  </si>
  <si>
    <t>건설교통대학</t>
    <phoneticPr fontId="1" type="noConversion"/>
  </si>
  <si>
    <t>국립</t>
    <phoneticPr fontId="1" type="noConversion"/>
  </si>
  <si>
    <t>미술원</t>
    <phoneticPr fontId="1" type="noConversion"/>
  </si>
  <si>
    <t>건축과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</si>
  <si>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</si>
  <si>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</si>
  <si>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</si>
  <si>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건축대학</t>
    <phoneticPr fontId="1" type="noConversion"/>
  </si>
  <si>
    <t>건축학/실내건축학</t>
    <phoneticPr fontId="1" type="noConversion"/>
  </si>
  <si>
    <t>건축학</t>
    <phoneticPr fontId="1" type="noConversion"/>
  </si>
  <si>
    <t>공과대학</t>
    <phoneticPr fontId="1" type="noConversion"/>
  </si>
  <si>
    <t>건축학/건축공학</t>
    <phoneticPr fontId="1" type="noConversion"/>
  </si>
  <si>
    <t>학부</t>
    <phoneticPr fontId="1" type="noConversion"/>
  </si>
  <si>
    <t>국립</t>
    <phoneticPr fontId="1" type="noConversion"/>
  </si>
  <si>
    <t>사립</t>
    <phoneticPr fontId="1" type="noConversion"/>
  </si>
  <si>
    <t>김소월
대학</t>
    <phoneticPr fontId="1" type="noConversion"/>
  </si>
  <si>
    <t>건축학/실내건축학</t>
    <phoneticPr fontId="1" type="noConversion"/>
  </si>
  <si>
    <t>학부</t>
    <phoneticPr fontId="1" type="noConversion"/>
  </si>
  <si>
    <t>건축학</t>
    <phoneticPr fontId="1" type="noConversion"/>
  </si>
  <si>
    <t>학과</t>
    <phoneticPr fontId="1" type="noConversion"/>
  </si>
  <si>
    <t>국립</t>
    <phoneticPr fontId="1" type="noConversion"/>
  </si>
  <si>
    <t>사립</t>
    <phoneticPr fontId="1" type="noConversion"/>
  </si>
  <si>
    <t>공과대학</t>
    <phoneticPr fontId="1" type="noConversion"/>
  </si>
  <si>
    <t>-</t>
    <phoneticPr fontId="1" type="noConversion"/>
  </si>
  <si>
    <t>문화예술대학</t>
    <phoneticPr fontId="1" type="noConversion"/>
  </si>
  <si>
    <t>건축ㆍ디자인대학</t>
    <phoneticPr fontId="1" type="noConversion"/>
  </si>
  <si>
    <t>건축학</t>
    <phoneticPr fontId="1" type="noConversion"/>
  </si>
  <si>
    <t>토목공학/건축학/건축공학</t>
    <phoneticPr fontId="1" type="noConversion"/>
  </si>
  <si>
    <t>학과</t>
    <phoneticPr fontId="1" type="noConversion"/>
  </si>
  <si>
    <t>학부</t>
    <phoneticPr fontId="1" type="noConversion"/>
  </si>
  <si>
    <t>건축학</t>
    <phoneticPr fontId="1" type="noConversion"/>
  </si>
  <si>
    <t>편입생</t>
    <phoneticPr fontId="1" type="noConversion"/>
  </si>
  <si>
    <t>국립</t>
    <phoneticPr fontId="1" type="noConversion"/>
  </si>
  <si>
    <t>건축학</t>
    <phoneticPr fontId="1" type="noConversion"/>
  </si>
  <si>
    <t>학과</t>
    <phoneticPr fontId="1" type="noConversion"/>
  </si>
  <si>
    <t>건설환경공과대학</t>
    <phoneticPr fontId="1" type="noConversion"/>
  </si>
  <si>
    <t>지원자수</t>
    <phoneticPr fontId="1" type="noConversion"/>
  </si>
  <si>
    <t>국립</t>
    <phoneticPr fontId="1" type="noConversion"/>
  </si>
  <si>
    <t>건축학</t>
    <phoneticPr fontId="1" type="noConversion"/>
  </si>
  <si>
    <t>학부</t>
    <phoneticPr fontId="1" type="noConversion"/>
  </si>
  <si>
    <t>공과대학</t>
    <phoneticPr fontId="1" type="noConversion"/>
  </si>
  <si>
    <t>-</t>
    <phoneticPr fontId="1" type="noConversion"/>
  </si>
  <si>
    <t>입학생수</t>
    <phoneticPr fontId="1" type="noConversion"/>
  </si>
  <si>
    <t>전체
수</t>
    <phoneticPr fontId="1" type="noConversion"/>
  </si>
  <si>
    <t>건설
회사</t>
    <phoneticPr fontId="1" type="noConversion"/>
  </si>
  <si>
    <t>인테
리어</t>
    <phoneticPr fontId="1" type="noConversion"/>
  </si>
  <si>
    <t>모집
구분</t>
    <phoneticPr fontId="1" type="noConversion"/>
  </si>
  <si>
    <t>공과대학</t>
    <phoneticPr fontId="1" type="noConversion"/>
  </si>
  <si>
    <t>사립</t>
    <phoneticPr fontId="1" type="noConversion"/>
  </si>
  <si>
    <t>건축학</t>
    <phoneticPr fontId="1" type="noConversion"/>
  </si>
  <si>
    <t>건축학/건축공학/토목공학</t>
    <phoneticPr fontId="1" type="noConversion"/>
  </si>
  <si>
    <t>건축학</t>
    <phoneticPr fontId="1" type="noConversion"/>
  </si>
  <si>
    <t>건축학</t>
    <phoneticPr fontId="1" type="noConversion"/>
  </si>
  <si>
    <t>건축학부</t>
    <phoneticPr fontId="1" type="noConversion"/>
  </si>
  <si>
    <t>학과</t>
    <phoneticPr fontId="1" type="noConversion"/>
  </si>
  <si>
    <t>전통건축/건축학</t>
    <phoneticPr fontId="1" type="noConversion"/>
  </si>
  <si>
    <t>건축설계학과/실내건축설계학과</t>
    <phoneticPr fontId="1" type="noConversion"/>
  </si>
  <si>
    <t>건축학전공
입학
정원</t>
    <phoneticPr fontId="1" type="noConversion"/>
  </si>
  <si>
    <t>타과 전임</t>
    <phoneticPr fontId="1" type="noConversion"/>
  </si>
  <si>
    <t>졸업생 취업현황 자료 없음</t>
    <phoneticPr fontId="1" type="noConversion"/>
  </si>
  <si>
    <t xml:space="preserve">입학정원 자료 없음 </t>
    <phoneticPr fontId="1" type="noConversion"/>
  </si>
  <si>
    <t>입학정원 : 2018학년도부터 전공배정은 1학년 2학기에 배정함. / 2023년 2월 졸업생 수 중 학위취득 유예자 1명 불포함 (최OO: 취업마일리지 Non Pass)</t>
    <phoneticPr fontId="1" type="noConversion"/>
  </si>
  <si>
    <t>재학생 수 : 건설융합학부로 입학하여 전공배정을 받지 않은 학생의 수는 ‘건축학전공 정원(38)/건설융합학부 정원(194)’로 산정하여 합산함.</t>
    <phoneticPr fontId="1" type="noConversion"/>
  </si>
  <si>
    <t xml:space="preserve">2023년 1학년 학부제, 2학년 학과제 </t>
    <phoneticPr fontId="1" type="noConversion"/>
  </si>
  <si>
    <t>2023년 1학년 학부제임. 2학년~5학년 학과제임</t>
    <phoneticPr fontId="1" type="noConversion"/>
  </si>
  <si>
    <t>32(26)</t>
    <phoneticPr fontId="1" type="noConversion"/>
  </si>
  <si>
    <t>대학원 편입자료가 없음</t>
    <phoneticPr fontId="1" type="noConversion"/>
  </si>
  <si>
    <t xml:space="preserve">학부제 </t>
    <phoneticPr fontId="1" type="noConversion"/>
  </si>
  <si>
    <t>2023년 편입 인원 미배정</t>
    <phoneticPr fontId="1" type="noConversion"/>
  </si>
  <si>
    <t xml:space="preserve">연례보고서 제출하였으나 자료 없음 </t>
    <phoneticPr fontId="1" type="noConversion"/>
  </si>
  <si>
    <t>2023년 편입생 미선발</t>
    <phoneticPr fontId="1" type="noConversion"/>
  </si>
  <si>
    <t>2년 과정: 27학점, 3년과정: 51학점</t>
    <phoneticPr fontId="1" type="noConversion"/>
  </si>
  <si>
    <t>27/51</t>
    <phoneticPr fontId="1" type="noConversion"/>
  </si>
  <si>
    <t>사람</t>
    <phoneticPr fontId="1" type="noConversion"/>
  </si>
  <si>
    <t>공과대학</t>
    <phoneticPr fontId="1" type="noConversion"/>
  </si>
  <si>
    <t>건축학부 건축학전공</t>
    <phoneticPr fontId="1" type="noConversion"/>
  </si>
  <si>
    <t>사립</t>
    <phoneticPr fontId="1" type="noConversion"/>
  </si>
  <si>
    <t>건축학과</t>
    <phoneticPr fontId="1" type="noConversion"/>
  </si>
  <si>
    <t>건축디자인학과</t>
    <phoneticPr fontId="1" type="noConversion"/>
  </si>
  <si>
    <t xml:space="preserve">건축학과 </t>
    <phoneticPr fontId="1" type="noConversion"/>
  </si>
  <si>
    <t xml:space="preserve"> 건축학전공</t>
    <phoneticPr fontId="1" type="noConversion"/>
  </si>
  <si>
    <t>건축학부 건축학전</t>
    <phoneticPr fontId="1" type="noConversion"/>
  </si>
  <si>
    <t>사립</t>
    <phoneticPr fontId="1" type="noConversion"/>
  </si>
  <si>
    <t>2023년 1학년1학기 2학기, 2학년 1학기는 학부제임</t>
    <phoneticPr fontId="1" type="noConversion"/>
  </si>
  <si>
    <t>건축공학부 건축학전공</t>
    <phoneticPr fontId="4" type="noConversion"/>
  </si>
  <si>
    <t>졸업생 진로현황 및 편입색 자료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</si>
</sst>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.0_ "/>
    <numFmt numFmtId="177" formatCode="0.00_ "/>
    <numFmt numFmtId="178" formatCode="0.0;_탿"/>
    <numFmt numFmtId="179" formatCode="0_);[Red]\(0\)"/>
    <numFmt numFmtId="180" formatCode="0.0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color rgb="FF0000CC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4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0" fontId="18" fillId="0" borderId="0" xfId="0" applyFont="1">
      <alignment vertical="center"/>
    </xf>
    <xf numFmtId="0" fontId="19" fillId="3" borderId="30" xfId="0" applyFont="1" applyFill="1" applyBorder="1" applyAlignment="1">
      <alignment horizontal="center" vertical="center" wrapText="1"/>
    </xf>
    <xf numFmtId="0" fontId="19" fillId="3" borderId="31" xfId="0" applyFont="1" applyFill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3" borderId="30" xfId="0" applyFont="1" applyFill="1" applyBorder="1" applyAlignment="1">
      <alignment horizontal="right" vertical="center" wrapText="1"/>
    </xf>
    <xf numFmtId="0" fontId="19" fillId="3" borderId="31" xfId="0" applyFont="1" applyFill="1" applyBorder="1" applyAlignment="1">
      <alignment horizontal="right" vertical="center" wrapText="1"/>
    </xf>
    <xf numFmtId="179" fontId="0" fillId="0" borderId="0" xfId="0" applyNumberFormat="1" applyAlignment="1">
      <alignment horizontal="center" vertical="center"/>
    </xf>
    <xf numFmtId="179" fontId="7" fillId="2" borderId="24" xfId="0" applyNumberFormat="1" applyFont="1" applyFill="1" applyBorder="1" applyAlignment="1">
      <alignment horizontal="center" vertical="center" wrapText="1"/>
    </xf>
    <xf numFmtId="179" fontId="7" fillId="2" borderId="33" xfId="0" applyNumberFormat="1" applyFont="1" applyFill="1" applyBorder="1" applyAlignment="1">
      <alignment horizontal="center" vertical="center" wrapText="1"/>
    </xf>
    <xf numFmtId="179" fontId="7" fillId="2" borderId="3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7" fontId="3" fillId="0" borderId="25" xfId="0" applyNumberFormat="1" applyFont="1" applyBorder="1" applyAlignment="1">
      <alignment horizontal="center" vertical="center"/>
    </xf>
    <xf numFmtId="178" fontId="3" fillId="0" borderId="17" xfId="0" applyNumberFormat="1" applyFont="1" applyBorder="1" applyAlignment="1">
      <alignment horizontal="center" vertical="center"/>
    </xf>
    <xf numFmtId="179" fontId="6" fillId="0" borderId="25" xfId="0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9" fontId="3" fillId="0" borderId="12" xfId="0" applyNumberFormat="1" applyFont="1" applyBorder="1" applyAlignment="1">
      <alignment horizontal="center" vertical="center"/>
    </xf>
    <xf numFmtId="179" fontId="3" fillId="0" borderId="5" xfId="0" applyNumberFormat="1" applyFont="1" applyBorder="1" applyAlignment="1">
      <alignment horizontal="center" vertical="center"/>
    </xf>
    <xf numFmtId="179" fontId="6" fillId="0" borderId="5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79" fontId="6" fillId="0" borderId="12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7" fontId="6" fillId="0" borderId="12" xfId="0" applyNumberFormat="1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center" vertical="center"/>
    </xf>
    <xf numFmtId="178" fontId="3" fillId="0" borderId="19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178" fontId="6" fillId="0" borderId="19" xfId="0" applyNumberFormat="1" applyFont="1" applyBorder="1" applyAlignment="1">
      <alignment horizontal="center" vertical="center"/>
    </xf>
    <xf numFmtId="177" fontId="6" fillId="0" borderId="19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9" fontId="3" fillId="0" borderId="25" xfId="0" applyNumberFormat="1" applyFont="1" applyBorder="1" applyAlignment="1">
      <alignment horizontal="center" vertical="center"/>
    </xf>
    <xf numFmtId="179" fontId="3" fillId="0" borderId="1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7" fontId="6" fillId="0" borderId="18" xfId="0" applyNumberFormat="1" applyFont="1" applyBorder="1" applyAlignment="1">
      <alignment horizontal="center" vertical="center"/>
    </xf>
    <xf numFmtId="176" fontId="3" fillId="0" borderId="22" xfId="0" applyNumberFormat="1" applyFont="1" applyBorder="1" applyAlignment="1">
      <alignment horizontal="center" vertical="center"/>
    </xf>
    <xf numFmtId="179" fontId="3" fillId="0" borderId="7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7" fontId="3" fillId="0" borderId="26" xfId="0" applyNumberFormat="1" applyFont="1" applyBorder="1" applyAlignment="1">
      <alignment horizontal="center" vertical="center"/>
    </xf>
    <xf numFmtId="179" fontId="3" fillId="0" borderId="26" xfId="0" applyNumberFormat="1" applyFont="1" applyBorder="1" applyAlignment="1">
      <alignment horizontal="center" vertical="center"/>
    </xf>
    <xf numFmtId="179" fontId="6" fillId="0" borderId="7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79" fontId="6" fillId="0" borderId="26" xfId="0" applyNumberFormat="1" applyFont="1" applyBorder="1" applyAlignment="1">
      <alignment horizontal="center" vertical="center"/>
    </xf>
    <xf numFmtId="177" fontId="6" fillId="0" borderId="26" xfId="0" applyNumberFormat="1" applyFont="1" applyBorder="1" applyAlignment="1">
      <alignment horizontal="center" vertical="center"/>
    </xf>
    <xf numFmtId="178" fontId="3" fillId="0" borderId="22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76" fontId="6" fillId="0" borderId="22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178" fontId="6" fillId="0" borderId="15" xfId="0" applyNumberFormat="1" applyFont="1" applyBorder="1" applyAlignment="1">
      <alignment horizontal="center" vertical="center"/>
    </xf>
    <xf numFmtId="179" fontId="6" fillId="0" borderId="24" xfId="0" applyNumberFormat="1" applyFont="1" applyBorder="1" applyAlignment="1">
      <alignment horizontal="center" vertical="center"/>
    </xf>
    <xf numFmtId="179" fontId="6" fillId="0" borderId="20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9" fontId="6" fillId="5" borderId="5" xfId="0" applyNumberFormat="1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179" fontId="23" fillId="0" borderId="5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1" applyNumberFormat="1" applyFont="1" applyAlignment="1">
      <alignment horizontal="center" vertical="center"/>
    </xf>
    <xf numFmtId="180" fontId="6" fillId="0" borderId="19" xfId="0" applyNumberFormat="1" applyFont="1" applyBorder="1" applyAlignment="1">
      <alignment horizontal="center" vertical="center"/>
    </xf>
    <xf numFmtId="180" fontId="3" fillId="0" borderId="19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22" fillId="0" borderId="18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 wrapText="1"/>
    </xf>
    <xf numFmtId="0" fontId="0" fillId="5" borderId="0" xfId="0" applyFill="1">
      <alignment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7" fontId="3" fillId="0" borderId="1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9" fontId="6" fillId="0" borderId="12" xfId="0" applyNumberFormat="1" applyFont="1" applyFill="1" applyBorder="1" applyAlignment="1">
      <alignment horizontal="center" vertical="center"/>
    </xf>
    <xf numFmtId="179" fontId="6" fillId="0" borderId="5" xfId="0" applyNumberFormat="1" applyFont="1" applyFill="1" applyBorder="1" applyAlignment="1">
      <alignment horizontal="center" vertical="center"/>
    </xf>
    <xf numFmtId="177" fontId="6" fillId="0" borderId="12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9" fontId="3" fillId="0" borderId="12" xfId="0" applyNumberFormat="1" applyFont="1" applyFill="1" applyBorder="1" applyAlignment="1">
      <alignment horizontal="center" vertical="center"/>
    </xf>
    <xf numFmtId="179" fontId="3" fillId="0" borderId="5" xfId="0" applyNumberFormat="1" applyFont="1" applyFill="1" applyBorder="1" applyAlignment="1">
      <alignment horizontal="center" vertical="center"/>
    </xf>
    <xf numFmtId="176" fontId="6" fillId="0" borderId="19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75"/>
  <sheetViews>
    <sheetView tabSelected="1" zoomScale="110" zoomScaleNormal="110" workbookViewId="0">
      <pane xSplit="5" ySplit="2" topLeftCell="F3" activePane="bottomRight" state="frozen"/>
      <selection pane="topRight" activeCell="C1" sqref="C1"/>
      <selection pane="bottomLeft" activeCell="A3" sqref="A3"/>
      <selection pane="bottomRight" activeCell="A7" sqref="A7"/>
    </sheetView>
  </sheetViews>
  <sheetFormatPr defaultRowHeight="16.5" x14ac:dyDescent="0.3"/>
  <cols>
    <col min="1" max="1" width="4.25" customWidth="1"/>
    <col min="2" max="2" width="7" customWidth="1"/>
    <col min="3" max="3" width="5.75" customWidth="1"/>
    <col min="4" max="4" width="6.125" customWidth="1"/>
    <col min="5" max="5" width="24.5" customWidth="1"/>
    <col min="6" max="6" width="7" style="7" hidden="1" customWidth="1"/>
    <col min="7" max="7" width="5.75" style="7" hidden="1" customWidth="1"/>
    <col min="8" max="8" width="6.125" style="7" hidden="1" customWidth="1"/>
    <col min="9" max="9" width="24.5" style="7" hidden="1" customWidth="1"/>
    <col min="10" max="10" width="4.875" style="7" hidden="1" customWidth="1"/>
    <col min="11" max="11" width="5.625" style="7" customWidth="1"/>
    <col min="12" max="12" width="6.375" style="7" customWidth="1"/>
    <col min="13" max="31" width="5.625" style="7" customWidth="1"/>
    <col min="32" max="33" width="5.625" style="20" customWidth="1"/>
    <col min="34" max="34" width="5.625" style="20" hidden="1" customWidth="1"/>
    <col min="35" max="35" width="33" style="8" bestFit="1" customWidth="1"/>
  </cols>
  <sheetData>
    <row r="1" spans="1:40" ht="16.5" customHeight="1" x14ac:dyDescent="0.3">
      <c r="A1" s="9"/>
      <c r="B1" s="125" t="s">
        <v>10</v>
      </c>
      <c r="C1" s="125" t="s">
        <v>11</v>
      </c>
      <c r="D1" s="125" t="s">
        <v>12</v>
      </c>
      <c r="E1" s="125" t="s">
        <v>13</v>
      </c>
      <c r="F1" s="133" t="s">
        <v>10</v>
      </c>
      <c r="G1" s="133" t="s">
        <v>11</v>
      </c>
      <c r="H1" s="133" t="s">
        <v>12</v>
      </c>
      <c r="I1" s="133" t="s">
        <v>13</v>
      </c>
      <c r="J1" s="133" t="s">
        <v>108</v>
      </c>
      <c r="K1" s="133" t="s">
        <v>119</v>
      </c>
      <c r="L1" s="135" t="s">
        <v>14</v>
      </c>
      <c r="M1" s="137" t="s">
        <v>15</v>
      </c>
      <c r="N1" s="138"/>
      <c r="O1" s="139"/>
      <c r="P1" s="137" t="s">
        <v>40</v>
      </c>
      <c r="Q1" s="138"/>
      <c r="R1" s="138"/>
      <c r="S1" s="138"/>
      <c r="T1" s="138"/>
      <c r="U1" s="138"/>
      <c r="V1" s="138"/>
      <c r="W1" s="139"/>
      <c r="X1" s="137" t="s">
        <v>16</v>
      </c>
      <c r="Y1" s="138"/>
      <c r="Z1" s="138"/>
      <c r="AA1" s="140"/>
      <c r="AB1" s="141" t="s">
        <v>17</v>
      </c>
      <c r="AC1" s="129" t="s">
        <v>18</v>
      </c>
      <c r="AD1" s="125" t="s">
        <v>9</v>
      </c>
      <c r="AE1" s="131" t="s">
        <v>41</v>
      </c>
      <c r="AF1" s="143" t="s">
        <v>93</v>
      </c>
      <c r="AG1" s="144"/>
      <c r="AH1" s="145"/>
      <c r="AI1" s="127" t="s">
        <v>46</v>
      </c>
    </row>
    <row r="2" spans="1:40" ht="23.25" thickBot="1" x14ac:dyDescent="0.35">
      <c r="A2" s="10"/>
      <c r="B2" s="126"/>
      <c r="C2" s="126"/>
      <c r="D2" s="126"/>
      <c r="E2" s="126"/>
      <c r="F2" s="134"/>
      <c r="G2" s="134"/>
      <c r="H2" s="134"/>
      <c r="I2" s="134"/>
      <c r="J2" s="134"/>
      <c r="K2" s="134"/>
      <c r="L2" s="136"/>
      <c r="M2" s="1" t="s">
        <v>19</v>
      </c>
      <c r="N2" s="4" t="s">
        <v>20</v>
      </c>
      <c r="O2" s="2" t="s">
        <v>21</v>
      </c>
      <c r="P2" s="5" t="s">
        <v>35</v>
      </c>
      <c r="Q2" s="5" t="s">
        <v>106</v>
      </c>
      <c r="R2" s="5" t="s">
        <v>107</v>
      </c>
      <c r="S2" s="5" t="s">
        <v>36</v>
      </c>
      <c r="T2" s="5" t="s">
        <v>37</v>
      </c>
      <c r="U2" s="5" t="s">
        <v>28</v>
      </c>
      <c r="V2" s="5" t="s">
        <v>38</v>
      </c>
      <c r="W2" s="3" t="s">
        <v>39</v>
      </c>
      <c r="X2" s="1" t="s">
        <v>22</v>
      </c>
      <c r="Y2" s="4" t="s">
        <v>23</v>
      </c>
      <c r="Z2" s="6" t="s">
        <v>120</v>
      </c>
      <c r="AA2" s="4" t="s">
        <v>21</v>
      </c>
      <c r="AB2" s="142"/>
      <c r="AC2" s="130"/>
      <c r="AD2" s="126"/>
      <c r="AE2" s="132"/>
      <c r="AF2" s="21" t="s">
        <v>98</v>
      </c>
      <c r="AG2" s="22" t="s">
        <v>104</v>
      </c>
      <c r="AH2" s="23" t="s">
        <v>105</v>
      </c>
      <c r="AI2" s="128"/>
    </row>
    <row r="3" spans="1:40" ht="21" customHeight="1" x14ac:dyDescent="0.3">
      <c r="A3" s="8">
        <v>1</v>
      </c>
      <c r="B3" s="25">
        <v>2004</v>
      </c>
      <c r="C3" s="25" t="s">
        <v>30</v>
      </c>
      <c r="D3" s="25" t="s">
        <v>31</v>
      </c>
      <c r="E3" s="25" t="s">
        <v>33</v>
      </c>
      <c r="F3" s="25">
        <v>2004</v>
      </c>
      <c r="G3" s="25" t="s">
        <v>30</v>
      </c>
      <c r="H3" s="25" t="s">
        <v>31</v>
      </c>
      <c r="I3" s="25" t="s">
        <v>33</v>
      </c>
      <c r="J3" s="24" t="s">
        <v>26</v>
      </c>
      <c r="K3" s="61">
        <v>43</v>
      </c>
      <c r="L3" s="99">
        <f>32+32+56+43+54</f>
        <v>217</v>
      </c>
      <c r="M3" s="26">
        <v>34</v>
      </c>
      <c r="N3" s="24">
        <v>14</v>
      </c>
      <c r="O3" s="27">
        <f>SUM(M3:N3)</f>
        <v>48</v>
      </c>
      <c r="P3" s="28">
        <v>42</v>
      </c>
      <c r="Q3" s="28">
        <v>1</v>
      </c>
      <c r="R3" s="28">
        <v>0</v>
      </c>
      <c r="S3" s="28">
        <v>1</v>
      </c>
      <c r="T3" s="28">
        <v>0</v>
      </c>
      <c r="U3" s="28">
        <v>1</v>
      </c>
      <c r="V3" s="28">
        <v>1</v>
      </c>
      <c r="W3" s="28"/>
      <c r="X3" s="26">
        <v>10</v>
      </c>
      <c r="Y3" s="24">
        <v>19</v>
      </c>
      <c r="Z3" s="24">
        <v>0</v>
      </c>
      <c r="AA3" s="24">
        <f>SUM(X3:Z3)</f>
        <v>29</v>
      </c>
      <c r="AB3" s="29">
        <f t="shared" ref="AB3:AB34" si="0">L3/X3</f>
        <v>21.7</v>
      </c>
      <c r="AC3" s="30">
        <f>1795/461</f>
        <v>3.8937093275488071</v>
      </c>
      <c r="AD3" s="24">
        <v>53</v>
      </c>
      <c r="AE3" s="31">
        <v>47.6</v>
      </c>
      <c r="AF3" s="32">
        <v>7</v>
      </c>
      <c r="AG3" s="33">
        <v>3</v>
      </c>
      <c r="AH3" s="33"/>
      <c r="AI3" s="26"/>
    </row>
    <row r="4" spans="1:40" ht="21" customHeight="1" x14ac:dyDescent="0.3">
      <c r="A4" s="34">
        <v>2</v>
      </c>
      <c r="B4" s="36">
        <v>2002</v>
      </c>
      <c r="C4" s="36" t="s">
        <v>1</v>
      </c>
      <c r="D4" s="36" t="s">
        <v>2</v>
      </c>
      <c r="E4" s="36" t="s">
        <v>48</v>
      </c>
      <c r="F4" s="36">
        <v>2002</v>
      </c>
      <c r="G4" s="36" t="s">
        <v>1</v>
      </c>
      <c r="H4" s="36" t="s">
        <v>2</v>
      </c>
      <c r="I4" s="36" t="s">
        <v>111</v>
      </c>
      <c r="J4" s="35" t="s">
        <v>0</v>
      </c>
      <c r="K4" s="35">
        <f>23+25+25+26+27</f>
        <v>126</v>
      </c>
      <c r="L4" s="38">
        <f>24+41+32+32+29+34</f>
        <v>192</v>
      </c>
      <c r="M4" s="37">
        <v>20</v>
      </c>
      <c r="N4" s="35">
        <v>9</v>
      </c>
      <c r="O4" s="38">
        <f>SUM(M4:N4)</f>
        <v>29</v>
      </c>
      <c r="P4" s="39">
        <v>17</v>
      </c>
      <c r="Q4" s="39">
        <v>0</v>
      </c>
      <c r="R4" s="39">
        <v>0</v>
      </c>
      <c r="S4" s="39">
        <v>1</v>
      </c>
      <c r="T4" s="39">
        <v>0</v>
      </c>
      <c r="U4" s="39">
        <v>0</v>
      </c>
      <c r="V4" s="39">
        <v>2</v>
      </c>
      <c r="W4" s="39"/>
      <c r="X4" s="37">
        <v>10</v>
      </c>
      <c r="Y4" s="35">
        <v>16</v>
      </c>
      <c r="Z4" s="35">
        <v>0</v>
      </c>
      <c r="AA4" s="35">
        <f>SUM(X4:Z4)</f>
        <v>26</v>
      </c>
      <c r="AB4" s="40">
        <f t="shared" si="0"/>
        <v>19.2</v>
      </c>
      <c r="AC4" s="41">
        <f>1689/192</f>
        <v>8.796875</v>
      </c>
      <c r="AD4" s="42">
        <v>69</v>
      </c>
      <c r="AE4" s="116">
        <v>66.05</v>
      </c>
      <c r="AF4" s="43">
        <v>21</v>
      </c>
      <c r="AG4" s="44">
        <v>8</v>
      </c>
      <c r="AH4" s="45"/>
      <c r="AI4" s="37"/>
      <c r="AL4" s="103"/>
      <c r="AM4" s="103"/>
      <c r="AN4" s="103"/>
    </row>
    <row r="5" spans="1:40" ht="21" customHeight="1" x14ac:dyDescent="0.3">
      <c r="A5" s="34">
        <v>3</v>
      </c>
      <c r="B5" s="36">
        <v>1999</v>
      </c>
      <c r="C5" s="36" t="s">
        <v>4</v>
      </c>
      <c r="D5" s="36" t="s">
        <v>45</v>
      </c>
      <c r="E5" s="36" t="s">
        <v>118</v>
      </c>
      <c r="F5" s="36">
        <v>1996</v>
      </c>
      <c r="G5" s="36" t="s">
        <v>4</v>
      </c>
      <c r="H5" s="36" t="s">
        <v>45</v>
      </c>
      <c r="I5" s="36" t="s">
        <v>118</v>
      </c>
      <c r="J5" s="35" t="s">
        <v>28</v>
      </c>
      <c r="K5" s="35">
        <v>37</v>
      </c>
      <c r="L5" s="38">
        <v>99</v>
      </c>
      <c r="M5" s="37">
        <v>17</v>
      </c>
      <c r="N5" s="35">
        <v>14</v>
      </c>
      <c r="O5" s="38">
        <f>SUM(M5:N5)</f>
        <v>31</v>
      </c>
      <c r="P5" s="39">
        <v>20</v>
      </c>
      <c r="Q5" s="39">
        <v>0</v>
      </c>
      <c r="R5" s="39">
        <v>0</v>
      </c>
      <c r="S5" s="39">
        <v>0</v>
      </c>
      <c r="T5" s="39">
        <v>0</v>
      </c>
      <c r="U5" s="39">
        <v>0</v>
      </c>
      <c r="V5" s="39">
        <v>11</v>
      </c>
      <c r="W5" s="39"/>
      <c r="X5" s="37">
        <v>3</v>
      </c>
      <c r="Y5" s="35">
        <v>0</v>
      </c>
      <c r="Z5" s="35">
        <v>0</v>
      </c>
      <c r="AA5" s="35">
        <f>SUM(X5:Z5)</f>
        <v>3</v>
      </c>
      <c r="AB5" s="40">
        <f t="shared" si="0"/>
        <v>33</v>
      </c>
      <c r="AC5" s="41">
        <f>1101.6/99</f>
        <v>11.127272727272727</v>
      </c>
      <c r="AD5" s="42" t="s">
        <v>134</v>
      </c>
      <c r="AE5" s="115">
        <f>433.8/9.9</f>
        <v>43.81818181818182</v>
      </c>
      <c r="AF5" s="47">
        <v>162</v>
      </c>
      <c r="AG5" s="45">
        <v>32</v>
      </c>
      <c r="AH5" s="45"/>
      <c r="AI5" s="118" t="s">
        <v>133</v>
      </c>
    </row>
    <row r="6" spans="1:40" ht="21" customHeight="1" x14ac:dyDescent="0.3">
      <c r="A6" s="34">
        <v>4</v>
      </c>
      <c r="B6" s="36">
        <v>2002</v>
      </c>
      <c r="C6" s="36" t="s">
        <v>4</v>
      </c>
      <c r="D6" s="36" t="s">
        <v>2</v>
      </c>
      <c r="E6" s="36" t="s">
        <v>3</v>
      </c>
      <c r="F6" s="36">
        <v>2002</v>
      </c>
      <c r="G6" s="36" t="s">
        <v>4</v>
      </c>
      <c r="H6" s="36" t="s">
        <v>2</v>
      </c>
      <c r="I6" s="36" t="s">
        <v>3</v>
      </c>
      <c r="J6" s="35" t="s">
        <v>26</v>
      </c>
      <c r="K6" s="35">
        <f>55+55</f>
        <v>110</v>
      </c>
      <c r="L6" s="38">
        <f>49+40+52+45+81</f>
        <v>267</v>
      </c>
      <c r="M6" s="37">
        <v>30</v>
      </c>
      <c r="N6" s="35">
        <f>35+8</f>
        <v>43</v>
      </c>
      <c r="O6" s="38">
        <f>SUM(M6:N6)</f>
        <v>73</v>
      </c>
      <c r="P6" s="39"/>
      <c r="Q6" s="39"/>
      <c r="R6" s="39"/>
      <c r="S6" s="39"/>
      <c r="T6" s="39"/>
      <c r="U6" s="39"/>
      <c r="V6" s="39"/>
      <c r="W6" s="39"/>
      <c r="X6" s="37">
        <v>10</v>
      </c>
      <c r="Y6" s="35">
        <v>18</v>
      </c>
      <c r="Z6" s="35">
        <v>0</v>
      </c>
      <c r="AA6" s="35">
        <f>SUM(X6:Z6)</f>
        <v>28</v>
      </c>
      <c r="AB6" s="40">
        <f t="shared" si="0"/>
        <v>26.7</v>
      </c>
      <c r="AC6" s="41">
        <f>2730.32/267</f>
        <v>10.225917602996255</v>
      </c>
      <c r="AD6" s="42">
        <v>60</v>
      </c>
      <c r="AE6" s="40">
        <v>46.4</v>
      </c>
      <c r="AF6" s="47"/>
      <c r="AG6" s="45"/>
      <c r="AH6" s="45"/>
      <c r="AI6" s="117" t="s">
        <v>147</v>
      </c>
    </row>
    <row r="7" spans="1:40" ht="21" customHeight="1" x14ac:dyDescent="0.3">
      <c r="A7" s="163">
        <v>5</v>
      </c>
      <c r="B7" s="36">
        <v>2006</v>
      </c>
      <c r="C7" s="36" t="s">
        <v>34</v>
      </c>
      <c r="D7" s="36" t="s">
        <v>97</v>
      </c>
      <c r="E7" s="36" t="s">
        <v>48</v>
      </c>
      <c r="F7" s="146">
        <v>2006</v>
      </c>
      <c r="G7" s="146" t="s">
        <v>94</v>
      </c>
      <c r="H7" s="146" t="s">
        <v>97</v>
      </c>
      <c r="I7" s="146" t="s">
        <v>95</v>
      </c>
      <c r="J7" s="147" t="s">
        <v>96</v>
      </c>
      <c r="K7" s="147">
        <f>51+27</f>
        <v>78</v>
      </c>
      <c r="L7" s="148">
        <f>49+25+36+25+32</f>
        <v>167</v>
      </c>
      <c r="M7" s="149">
        <v>12</v>
      </c>
      <c r="N7" s="147">
        <v>17</v>
      </c>
      <c r="O7" s="148">
        <f>SUM(M7:N7)</f>
        <v>29</v>
      </c>
      <c r="P7" s="150">
        <v>15</v>
      </c>
      <c r="Q7" s="150">
        <v>2</v>
      </c>
      <c r="R7" s="150">
        <v>0</v>
      </c>
      <c r="S7" s="150">
        <v>1</v>
      </c>
      <c r="T7" s="150">
        <v>0</v>
      </c>
      <c r="U7" s="150">
        <v>2</v>
      </c>
      <c r="V7" s="150">
        <v>0</v>
      </c>
      <c r="W7" s="150"/>
      <c r="X7" s="149">
        <v>6</v>
      </c>
      <c r="Y7" s="147">
        <v>19</v>
      </c>
      <c r="Z7" s="147">
        <v>1</v>
      </c>
      <c r="AA7" s="147">
        <f>SUM(X7:Z7)</f>
        <v>26</v>
      </c>
      <c r="AB7" s="151">
        <f t="shared" si="0"/>
        <v>27.833333333333332</v>
      </c>
      <c r="AC7" s="152">
        <f>1554.04/L7</f>
        <v>9.3056287425149691</v>
      </c>
      <c r="AD7" s="153">
        <v>50</v>
      </c>
      <c r="AE7" s="151">
        <v>52.76</v>
      </c>
      <c r="AF7" s="154"/>
      <c r="AG7" s="155">
        <v>12</v>
      </c>
      <c r="AH7" s="106"/>
      <c r="AI7" s="149"/>
      <c r="AJ7" s="121"/>
      <c r="AL7" s="103"/>
      <c r="AM7" s="103"/>
      <c r="AN7" s="103"/>
    </row>
    <row r="8" spans="1:40" ht="21" customHeight="1" x14ac:dyDescent="0.3">
      <c r="A8" s="34">
        <v>6</v>
      </c>
      <c r="B8" s="36">
        <v>2002</v>
      </c>
      <c r="C8" s="36" t="s">
        <v>1</v>
      </c>
      <c r="D8" s="36" t="s">
        <v>2</v>
      </c>
      <c r="E8" s="36" t="s">
        <v>3</v>
      </c>
      <c r="F8" s="36">
        <v>2002</v>
      </c>
      <c r="G8" s="36" t="s">
        <v>1</v>
      </c>
      <c r="H8" s="36" t="s">
        <v>2</v>
      </c>
      <c r="I8" s="36" t="s">
        <v>3</v>
      </c>
      <c r="J8" s="35" t="s">
        <v>26</v>
      </c>
      <c r="K8" s="35">
        <v>200</v>
      </c>
      <c r="L8" s="38">
        <f>44+38+43+42+53</f>
        <v>220</v>
      </c>
      <c r="M8" s="37">
        <v>26</v>
      </c>
      <c r="N8" s="35">
        <v>26</v>
      </c>
      <c r="O8" s="38">
        <f t="shared" ref="O8:O38" si="1">SUM(M8:N8)</f>
        <v>52</v>
      </c>
      <c r="P8" s="39">
        <v>17</v>
      </c>
      <c r="Q8" s="39">
        <v>0</v>
      </c>
      <c r="R8" s="39">
        <v>1</v>
      </c>
      <c r="S8" s="39">
        <v>0</v>
      </c>
      <c r="T8" s="39">
        <v>0</v>
      </c>
      <c r="U8" s="39">
        <v>2</v>
      </c>
      <c r="V8" s="39">
        <v>29</v>
      </c>
      <c r="W8" s="39"/>
      <c r="X8" s="37">
        <v>9</v>
      </c>
      <c r="Y8" s="35">
        <v>31</v>
      </c>
      <c r="Z8" s="35">
        <v>0</v>
      </c>
      <c r="AA8" s="35">
        <f t="shared" ref="AA8:AA38" si="2">SUM(X8:Z8)</f>
        <v>40</v>
      </c>
      <c r="AB8" s="40">
        <f t="shared" si="0"/>
        <v>24.444444444444443</v>
      </c>
      <c r="AC8" s="41">
        <f>2302.4/220</f>
        <v>10.465454545454547</v>
      </c>
      <c r="AD8" s="42">
        <v>57</v>
      </c>
      <c r="AE8" s="40">
        <v>61</v>
      </c>
      <c r="AF8" s="47">
        <v>47</v>
      </c>
      <c r="AG8" s="45">
        <v>5</v>
      </c>
      <c r="AH8" s="45"/>
      <c r="AI8" s="37"/>
    </row>
    <row r="9" spans="1:40" ht="21" customHeight="1" x14ac:dyDescent="0.3">
      <c r="A9" s="34">
        <v>7</v>
      </c>
      <c r="B9" s="49">
        <v>2002</v>
      </c>
      <c r="C9" s="49" t="s">
        <v>1</v>
      </c>
      <c r="D9" s="49" t="s">
        <v>2</v>
      </c>
      <c r="E9" s="49" t="s">
        <v>48</v>
      </c>
      <c r="F9" s="49">
        <v>2002</v>
      </c>
      <c r="G9" s="49" t="s">
        <v>1</v>
      </c>
      <c r="H9" s="49" t="s">
        <v>2</v>
      </c>
      <c r="I9" s="49" t="s">
        <v>48</v>
      </c>
      <c r="J9" s="42" t="s">
        <v>0</v>
      </c>
      <c r="K9" s="42">
        <f>51+27+24+24+24+24</f>
        <v>174</v>
      </c>
      <c r="L9" s="46">
        <f>49+25+36+25+32+23+26+18+33</f>
        <v>267</v>
      </c>
      <c r="M9" s="48">
        <f>12+17</f>
        <v>29</v>
      </c>
      <c r="N9" s="42">
        <f>17+4</f>
        <v>21</v>
      </c>
      <c r="O9" s="46">
        <f t="shared" si="1"/>
        <v>50</v>
      </c>
      <c r="P9" s="50">
        <f>15+17</f>
        <v>32</v>
      </c>
      <c r="Q9" s="50">
        <v>2</v>
      </c>
      <c r="R9" s="50">
        <v>0</v>
      </c>
      <c r="S9" s="50">
        <v>1</v>
      </c>
      <c r="T9" s="50">
        <v>0</v>
      </c>
      <c r="U9" s="50">
        <v>2</v>
      </c>
      <c r="V9" s="50">
        <v>4</v>
      </c>
      <c r="W9" s="50"/>
      <c r="X9" s="48">
        <v>12</v>
      </c>
      <c r="Y9" s="42">
        <v>34</v>
      </c>
      <c r="Z9" s="42">
        <v>1</v>
      </c>
      <c r="AA9" s="42">
        <f t="shared" si="2"/>
        <v>47</v>
      </c>
      <c r="AB9" s="51">
        <f t="shared" si="0"/>
        <v>22.25</v>
      </c>
      <c r="AC9" s="52">
        <f>1554.04/L9</f>
        <v>5.8203745318352063</v>
      </c>
      <c r="AD9" s="122">
        <v>50</v>
      </c>
      <c r="AE9" s="51">
        <f>52.76/2+60.03/2</f>
        <v>56.394999999999996</v>
      </c>
      <c r="AF9" s="47">
        <v>6</v>
      </c>
      <c r="AG9" s="45">
        <v>21</v>
      </c>
      <c r="AH9" s="45"/>
      <c r="AI9" s="108"/>
      <c r="AL9" s="103"/>
      <c r="AM9" s="103"/>
      <c r="AN9" s="103"/>
    </row>
    <row r="10" spans="1:40" ht="21" customHeight="1" x14ac:dyDescent="0.3">
      <c r="A10" s="34">
        <v>8</v>
      </c>
      <c r="B10" s="36">
        <v>2007</v>
      </c>
      <c r="C10" s="36" t="s">
        <v>30</v>
      </c>
      <c r="D10" s="36" t="s">
        <v>31</v>
      </c>
      <c r="E10" s="36" t="s">
        <v>48</v>
      </c>
      <c r="F10" s="36">
        <v>2007</v>
      </c>
      <c r="G10" s="36" t="s">
        <v>30</v>
      </c>
      <c r="H10" s="36" t="s">
        <v>31</v>
      </c>
      <c r="I10" s="36" t="s">
        <v>49</v>
      </c>
      <c r="J10" s="35" t="s">
        <v>44</v>
      </c>
      <c r="K10" s="35">
        <v>47</v>
      </c>
      <c r="L10" s="38">
        <f>46+55+48+48+52</f>
        <v>249</v>
      </c>
      <c r="M10" s="37">
        <v>34</v>
      </c>
      <c r="N10" s="35">
        <v>20</v>
      </c>
      <c r="O10" s="38">
        <f t="shared" si="1"/>
        <v>54</v>
      </c>
      <c r="P10" s="39">
        <v>3</v>
      </c>
      <c r="Q10" s="39">
        <v>0</v>
      </c>
      <c r="R10" s="39">
        <v>0</v>
      </c>
      <c r="S10" s="39">
        <v>1</v>
      </c>
      <c r="T10" s="39">
        <v>0</v>
      </c>
      <c r="U10" s="39">
        <v>0</v>
      </c>
      <c r="V10" s="39">
        <v>7</v>
      </c>
      <c r="W10" s="39"/>
      <c r="X10" s="37">
        <v>9</v>
      </c>
      <c r="Y10" s="35">
        <v>41</v>
      </c>
      <c r="Z10" s="35">
        <v>0</v>
      </c>
      <c r="AA10" s="35">
        <f t="shared" si="2"/>
        <v>50</v>
      </c>
      <c r="AB10" s="40">
        <f t="shared" si="0"/>
        <v>27.666666666666668</v>
      </c>
      <c r="AC10" s="53">
        <f>111.8*6/249+139.7*4/249</f>
        <v>4.938152610441767</v>
      </c>
      <c r="AD10" s="123">
        <v>48</v>
      </c>
      <c r="AE10" s="54">
        <v>52.1</v>
      </c>
      <c r="AF10" s="47">
        <v>88</v>
      </c>
      <c r="AG10" s="45">
        <v>2</v>
      </c>
      <c r="AH10" s="45"/>
      <c r="AI10" s="108"/>
    </row>
    <row r="11" spans="1:40" ht="21" customHeight="1" x14ac:dyDescent="0.3">
      <c r="A11" s="34">
        <v>9</v>
      </c>
      <c r="B11" s="49">
        <v>2003</v>
      </c>
      <c r="C11" s="49" t="s">
        <v>30</v>
      </c>
      <c r="D11" s="49" t="s">
        <v>31</v>
      </c>
      <c r="E11" s="49" t="s">
        <v>89</v>
      </c>
      <c r="F11" s="49">
        <v>2003</v>
      </c>
      <c r="G11" s="49" t="s">
        <v>83</v>
      </c>
      <c r="H11" s="49" t="s">
        <v>31</v>
      </c>
      <c r="I11" s="49" t="s">
        <v>89</v>
      </c>
      <c r="J11" s="55" t="s">
        <v>91</v>
      </c>
      <c r="K11" s="55">
        <v>160</v>
      </c>
      <c r="L11" s="46">
        <f>42+27+42+25+41</f>
        <v>177</v>
      </c>
      <c r="M11" s="48">
        <v>19</v>
      </c>
      <c r="N11" s="55">
        <v>16</v>
      </c>
      <c r="O11" s="46">
        <f t="shared" si="1"/>
        <v>35</v>
      </c>
      <c r="P11" s="50">
        <v>9</v>
      </c>
      <c r="Q11" s="50">
        <v>0</v>
      </c>
      <c r="R11" s="50">
        <v>0</v>
      </c>
      <c r="S11" s="50">
        <v>0</v>
      </c>
      <c r="T11" s="50">
        <v>0</v>
      </c>
      <c r="U11" s="50">
        <v>1</v>
      </c>
      <c r="V11" s="50">
        <v>25</v>
      </c>
      <c r="W11" s="50">
        <v>6</v>
      </c>
      <c r="X11" s="48">
        <v>7</v>
      </c>
      <c r="Y11" s="55">
        <v>5</v>
      </c>
      <c r="Z11" s="55">
        <v>0</v>
      </c>
      <c r="AA11" s="55">
        <f t="shared" si="2"/>
        <v>12</v>
      </c>
      <c r="AB11" s="40">
        <f t="shared" si="0"/>
        <v>25.285714285714285</v>
      </c>
      <c r="AC11" s="52">
        <f>2026/L11</f>
        <v>11.44632768361582</v>
      </c>
      <c r="AD11" s="123">
        <v>51</v>
      </c>
      <c r="AE11" s="54">
        <f>2.88+4+4.11+4+4.36+6+6.26+41.1+4</f>
        <v>76.710000000000008</v>
      </c>
      <c r="AF11" s="47">
        <v>35</v>
      </c>
      <c r="AG11" s="45">
        <v>9</v>
      </c>
      <c r="AH11" s="45"/>
      <c r="AI11" s="37"/>
    </row>
    <row r="12" spans="1:40" ht="21" customHeight="1" x14ac:dyDescent="0.3">
      <c r="A12" s="34">
        <v>10</v>
      </c>
      <c r="B12" s="49">
        <v>2003</v>
      </c>
      <c r="C12" s="49" t="s">
        <v>4</v>
      </c>
      <c r="D12" s="49" t="s">
        <v>2</v>
      </c>
      <c r="E12" s="49" t="s">
        <v>5</v>
      </c>
      <c r="F12" s="49">
        <v>2003</v>
      </c>
      <c r="G12" s="49" t="s">
        <v>4</v>
      </c>
      <c r="H12" s="49" t="s">
        <v>2</v>
      </c>
      <c r="I12" s="49" t="s">
        <v>5</v>
      </c>
      <c r="J12" s="55" t="s">
        <v>0</v>
      </c>
      <c r="K12" s="35">
        <v>40</v>
      </c>
      <c r="L12" s="46">
        <f>50+47+56+52+64</f>
        <v>269</v>
      </c>
      <c r="M12" s="48">
        <f>6+25</f>
        <v>31</v>
      </c>
      <c r="N12" s="55">
        <v>23</v>
      </c>
      <c r="O12" s="46">
        <f t="shared" si="1"/>
        <v>54</v>
      </c>
      <c r="P12" s="50"/>
      <c r="Q12" s="50"/>
      <c r="R12" s="50"/>
      <c r="S12" s="50"/>
      <c r="T12" s="50"/>
      <c r="U12" s="50"/>
      <c r="V12" s="50"/>
      <c r="W12" s="50"/>
      <c r="X12" s="48">
        <v>11</v>
      </c>
      <c r="Y12" s="55">
        <v>26</v>
      </c>
      <c r="Z12" s="55">
        <v>0</v>
      </c>
      <c r="AA12" s="55">
        <f t="shared" si="2"/>
        <v>37</v>
      </c>
      <c r="AB12" s="51">
        <f t="shared" si="0"/>
        <v>24.454545454545453</v>
      </c>
      <c r="AC12" s="52">
        <f>941.5/L12</f>
        <v>3.5</v>
      </c>
      <c r="AD12" s="123">
        <v>48</v>
      </c>
      <c r="AE12" s="51">
        <v>69.31</v>
      </c>
      <c r="AF12" s="47">
        <v>0</v>
      </c>
      <c r="AG12" s="45">
        <v>0</v>
      </c>
      <c r="AH12" s="45"/>
      <c r="AI12" s="117" t="s">
        <v>121</v>
      </c>
    </row>
    <row r="13" spans="1:40" ht="21" customHeight="1" x14ac:dyDescent="0.3">
      <c r="A13" s="34">
        <v>11</v>
      </c>
      <c r="B13" s="36">
        <v>2002</v>
      </c>
      <c r="C13" s="36" t="s">
        <v>34</v>
      </c>
      <c r="D13" s="36" t="s">
        <v>31</v>
      </c>
      <c r="E13" s="36" t="s">
        <v>48</v>
      </c>
      <c r="F13" s="36">
        <v>2002</v>
      </c>
      <c r="G13" s="36" t="s">
        <v>34</v>
      </c>
      <c r="H13" s="36" t="s">
        <v>31</v>
      </c>
      <c r="I13" s="36" t="s">
        <v>49</v>
      </c>
      <c r="J13" s="42" t="s">
        <v>44</v>
      </c>
      <c r="K13" s="42">
        <f>32*5</f>
        <v>160</v>
      </c>
      <c r="L13" s="38">
        <f>45+38+26+33+29</f>
        <v>171</v>
      </c>
      <c r="M13" s="37">
        <f>17+12</f>
        <v>29</v>
      </c>
      <c r="N13" s="35">
        <f>12+22</f>
        <v>34</v>
      </c>
      <c r="O13" s="38">
        <f t="shared" si="1"/>
        <v>63</v>
      </c>
      <c r="P13" s="39">
        <f>16+24</f>
        <v>40</v>
      </c>
      <c r="Q13" s="39">
        <v>1</v>
      </c>
      <c r="R13" s="39">
        <v>0</v>
      </c>
      <c r="S13" s="39">
        <v>6</v>
      </c>
      <c r="T13" s="39">
        <v>0</v>
      </c>
      <c r="U13" s="39">
        <v>3</v>
      </c>
      <c r="V13" s="39">
        <v>13</v>
      </c>
      <c r="W13" s="39"/>
      <c r="X13" s="37">
        <v>8</v>
      </c>
      <c r="Y13" s="35">
        <v>24</v>
      </c>
      <c r="Z13" s="35">
        <v>0</v>
      </c>
      <c r="AA13" s="35">
        <f t="shared" si="2"/>
        <v>32</v>
      </c>
      <c r="AB13" s="40">
        <f t="shared" si="0"/>
        <v>21.375</v>
      </c>
      <c r="AC13" s="41">
        <f>54.81*3*6/L13+48.72*3*4/L13</f>
        <v>9.188421052631579</v>
      </c>
      <c r="AD13" s="124">
        <v>54</v>
      </c>
      <c r="AE13" s="54">
        <f>4.05+3.97+6.15+5.67+8+8.28+6.73+6.55+7.74+7.42</f>
        <v>64.559999999999988</v>
      </c>
      <c r="AF13" s="47">
        <v>11</v>
      </c>
      <c r="AG13" s="45">
        <v>7</v>
      </c>
      <c r="AH13" s="45"/>
      <c r="AI13" s="108"/>
      <c r="AL13" s="103"/>
      <c r="AM13" s="103"/>
      <c r="AN13" s="103"/>
    </row>
    <row r="14" spans="1:40" ht="21" customHeight="1" x14ac:dyDescent="0.3">
      <c r="A14" s="34">
        <v>12</v>
      </c>
      <c r="B14" s="49">
        <v>2003</v>
      </c>
      <c r="C14" s="49" t="s">
        <v>30</v>
      </c>
      <c r="D14" s="49" t="s">
        <v>31</v>
      </c>
      <c r="E14" s="49" t="s">
        <v>48</v>
      </c>
      <c r="F14" s="49">
        <v>2003</v>
      </c>
      <c r="G14" s="49" t="s">
        <v>30</v>
      </c>
      <c r="H14" s="49" t="s">
        <v>31</v>
      </c>
      <c r="I14" s="49" t="s">
        <v>49</v>
      </c>
      <c r="J14" s="55" t="s">
        <v>44</v>
      </c>
      <c r="K14" s="55">
        <v>35</v>
      </c>
      <c r="L14" s="46">
        <f>29+33+21+28+43</f>
        <v>154</v>
      </c>
      <c r="M14" s="48">
        <v>20</v>
      </c>
      <c r="N14" s="55">
        <v>19</v>
      </c>
      <c r="O14" s="46">
        <f t="shared" si="1"/>
        <v>39</v>
      </c>
      <c r="P14" s="50">
        <v>16</v>
      </c>
      <c r="Q14" s="50">
        <v>1</v>
      </c>
      <c r="R14" s="50">
        <v>0</v>
      </c>
      <c r="S14" s="50">
        <v>2</v>
      </c>
      <c r="T14" s="50">
        <v>1</v>
      </c>
      <c r="U14" s="50">
        <v>1</v>
      </c>
      <c r="V14" s="50">
        <v>18</v>
      </c>
      <c r="W14" s="50"/>
      <c r="X14" s="48">
        <v>7</v>
      </c>
      <c r="Y14" s="55">
        <v>21</v>
      </c>
      <c r="Z14" s="55">
        <v>0</v>
      </c>
      <c r="AA14" s="55">
        <f t="shared" si="2"/>
        <v>28</v>
      </c>
      <c r="AB14" s="51">
        <f t="shared" si="0"/>
        <v>22</v>
      </c>
      <c r="AC14" s="52">
        <f>560.64/L14</f>
        <v>3.6405194805194805</v>
      </c>
      <c r="AD14" s="123">
        <v>57</v>
      </c>
      <c r="AE14" s="54">
        <v>66.180000000000007</v>
      </c>
      <c r="AF14" s="47">
        <v>48</v>
      </c>
      <c r="AG14" s="45">
        <v>5</v>
      </c>
      <c r="AH14" s="45"/>
      <c r="AI14" s="37"/>
    </row>
    <row r="15" spans="1:40" ht="21" customHeight="1" x14ac:dyDescent="0.3">
      <c r="A15" s="34">
        <v>13</v>
      </c>
      <c r="B15" s="36">
        <v>2002</v>
      </c>
      <c r="C15" s="36" t="s">
        <v>4</v>
      </c>
      <c r="D15" s="36" t="s">
        <v>6</v>
      </c>
      <c r="E15" s="36" t="s">
        <v>50</v>
      </c>
      <c r="F15" s="36">
        <v>2002</v>
      </c>
      <c r="G15" s="36" t="s">
        <v>4</v>
      </c>
      <c r="H15" s="36" t="s">
        <v>6</v>
      </c>
      <c r="I15" s="36" t="s">
        <v>50</v>
      </c>
      <c r="J15" s="35" t="s">
        <v>47</v>
      </c>
      <c r="K15" s="35">
        <f>65*5</f>
        <v>325</v>
      </c>
      <c r="L15" s="38">
        <f>71+64+57+63+72</f>
        <v>327</v>
      </c>
      <c r="M15" s="37">
        <v>32</v>
      </c>
      <c r="N15" s="35">
        <v>16</v>
      </c>
      <c r="O15" s="38">
        <f t="shared" si="1"/>
        <v>48</v>
      </c>
      <c r="P15" s="39">
        <v>26</v>
      </c>
      <c r="Q15" s="39">
        <v>2</v>
      </c>
      <c r="R15" s="39">
        <v>1</v>
      </c>
      <c r="S15" s="39">
        <v>0</v>
      </c>
      <c r="T15" s="39">
        <v>0</v>
      </c>
      <c r="U15" s="39">
        <v>2</v>
      </c>
      <c r="V15" s="39">
        <v>14</v>
      </c>
      <c r="W15" s="39"/>
      <c r="X15" s="37">
        <v>11</v>
      </c>
      <c r="Y15" s="35">
        <v>37</v>
      </c>
      <c r="Z15" s="35">
        <v>0</v>
      </c>
      <c r="AA15" s="35">
        <f t="shared" si="2"/>
        <v>48</v>
      </c>
      <c r="AB15" s="40">
        <f t="shared" si="0"/>
        <v>29.727272727272727</v>
      </c>
      <c r="AC15" s="41">
        <f>220.48*6/L15+176.18*4/L15</f>
        <v>6.2006116207951072</v>
      </c>
      <c r="AD15" s="123">
        <v>50</v>
      </c>
      <c r="AE15" s="40">
        <v>48.6</v>
      </c>
      <c r="AF15" s="47">
        <v>0</v>
      </c>
      <c r="AG15" s="45">
        <v>0</v>
      </c>
      <c r="AH15" s="45"/>
      <c r="AI15" s="37"/>
    </row>
    <row r="16" spans="1:40" ht="21" customHeight="1" x14ac:dyDescent="0.3">
      <c r="A16" s="34">
        <v>14</v>
      </c>
      <c r="B16" s="36">
        <v>2003</v>
      </c>
      <c r="C16" s="36" t="s">
        <v>34</v>
      </c>
      <c r="D16" s="36" t="s">
        <v>31</v>
      </c>
      <c r="E16" s="36" t="s">
        <v>33</v>
      </c>
      <c r="F16" s="36">
        <v>2003</v>
      </c>
      <c r="G16" s="36" t="s">
        <v>75</v>
      </c>
      <c r="H16" s="36" t="s">
        <v>72</v>
      </c>
      <c r="I16" s="36" t="s">
        <v>73</v>
      </c>
      <c r="J16" s="35" t="s">
        <v>74</v>
      </c>
      <c r="K16" s="42">
        <v>49</v>
      </c>
      <c r="L16" s="38">
        <f>48+25+30+23+41</f>
        <v>167</v>
      </c>
      <c r="M16" s="37">
        <f>19+4</f>
        <v>23</v>
      </c>
      <c r="N16" s="35">
        <v>16</v>
      </c>
      <c r="O16" s="38">
        <f t="shared" si="1"/>
        <v>39</v>
      </c>
      <c r="P16" s="39">
        <v>19</v>
      </c>
      <c r="Q16" s="39">
        <v>2</v>
      </c>
      <c r="R16" s="39">
        <v>0</v>
      </c>
      <c r="S16" s="39">
        <v>0</v>
      </c>
      <c r="T16" s="39">
        <v>0</v>
      </c>
      <c r="U16" s="39">
        <v>1</v>
      </c>
      <c r="V16" s="39">
        <v>17</v>
      </c>
      <c r="W16" s="39"/>
      <c r="X16" s="37">
        <v>9</v>
      </c>
      <c r="Y16" s="35">
        <v>10</v>
      </c>
      <c r="Z16" s="35">
        <v>0</v>
      </c>
      <c r="AA16" s="35">
        <f t="shared" si="2"/>
        <v>19</v>
      </c>
      <c r="AB16" s="40">
        <f t="shared" si="0"/>
        <v>18.555555555555557</v>
      </c>
      <c r="AC16" s="41">
        <f>1030.48/L16</f>
        <v>6.1705389221556883</v>
      </c>
      <c r="AD16" s="123">
        <v>54</v>
      </c>
      <c r="AE16" s="40">
        <v>44.3</v>
      </c>
      <c r="AF16" s="47">
        <v>13</v>
      </c>
      <c r="AG16" s="45">
        <v>4</v>
      </c>
      <c r="AH16" s="45"/>
      <c r="AI16" s="37"/>
    </row>
    <row r="17" spans="1:40" ht="21" customHeight="1" x14ac:dyDescent="0.3">
      <c r="A17" s="34">
        <v>15</v>
      </c>
      <c r="B17" s="49">
        <v>2008</v>
      </c>
      <c r="C17" s="49" t="s">
        <v>30</v>
      </c>
      <c r="D17" s="49" t="s">
        <v>31</v>
      </c>
      <c r="E17" s="49" t="s">
        <v>48</v>
      </c>
      <c r="F17" s="49">
        <v>2008</v>
      </c>
      <c r="G17" s="49" t="s">
        <v>30</v>
      </c>
      <c r="H17" s="49" t="s">
        <v>84</v>
      </c>
      <c r="I17" s="49" t="s">
        <v>88</v>
      </c>
      <c r="J17" s="55" t="s">
        <v>90</v>
      </c>
      <c r="K17" s="55">
        <f>45*5</f>
        <v>225</v>
      </c>
      <c r="L17" s="46">
        <f>59+39+47+37+38</f>
        <v>220</v>
      </c>
      <c r="M17" s="48">
        <v>19</v>
      </c>
      <c r="N17" s="55">
        <v>19</v>
      </c>
      <c r="O17" s="46">
        <f t="shared" si="1"/>
        <v>38</v>
      </c>
      <c r="P17" s="50"/>
      <c r="Q17" s="50"/>
      <c r="R17" s="50"/>
      <c r="S17" s="50"/>
      <c r="T17" s="50"/>
      <c r="U17" s="50"/>
      <c r="V17" s="50"/>
      <c r="W17" s="50"/>
      <c r="X17" s="48">
        <v>8</v>
      </c>
      <c r="Y17" s="55">
        <v>33</v>
      </c>
      <c r="Z17" s="55">
        <v>0</v>
      </c>
      <c r="AA17" s="55">
        <f t="shared" si="2"/>
        <v>41</v>
      </c>
      <c r="AB17" s="40">
        <f t="shared" si="0"/>
        <v>27.5</v>
      </c>
      <c r="AC17" s="52">
        <f>3732.8/L17</f>
        <v>16.967272727272729</v>
      </c>
      <c r="AD17" s="42">
        <v>60</v>
      </c>
      <c r="AE17" s="54">
        <v>95.4</v>
      </c>
      <c r="AF17" s="47">
        <v>0</v>
      </c>
      <c r="AG17" s="45">
        <v>0</v>
      </c>
      <c r="AH17" s="45"/>
      <c r="AI17" s="117" t="s">
        <v>121</v>
      </c>
    </row>
    <row r="18" spans="1:40" ht="21" customHeight="1" x14ac:dyDescent="0.3">
      <c r="A18" s="34">
        <v>16</v>
      </c>
      <c r="B18" s="56">
        <v>2002</v>
      </c>
      <c r="C18" s="56" t="s">
        <v>4</v>
      </c>
      <c r="D18" s="56" t="s">
        <v>6</v>
      </c>
      <c r="E18" s="56" t="s">
        <v>3</v>
      </c>
      <c r="F18" s="56">
        <v>2002</v>
      </c>
      <c r="G18" s="56" t="s">
        <v>4</v>
      </c>
      <c r="H18" s="56" t="s">
        <v>6</v>
      </c>
      <c r="I18" s="56" t="s">
        <v>3</v>
      </c>
      <c r="J18" s="35" t="s">
        <v>0</v>
      </c>
      <c r="K18" s="35">
        <v>50</v>
      </c>
      <c r="L18" s="38">
        <f>49+47+57+43+68</f>
        <v>264</v>
      </c>
      <c r="M18" s="48">
        <v>22</v>
      </c>
      <c r="N18" s="42">
        <v>23</v>
      </c>
      <c r="O18" s="38">
        <f t="shared" si="1"/>
        <v>45</v>
      </c>
      <c r="P18" s="39">
        <v>16</v>
      </c>
      <c r="Q18" s="39">
        <v>3</v>
      </c>
      <c r="R18" s="39">
        <v>0</v>
      </c>
      <c r="S18" s="39">
        <v>0</v>
      </c>
      <c r="T18" s="39">
        <v>0</v>
      </c>
      <c r="U18" s="39">
        <v>3</v>
      </c>
      <c r="V18" s="39">
        <v>3</v>
      </c>
      <c r="W18" s="39"/>
      <c r="X18" s="37">
        <v>10</v>
      </c>
      <c r="Y18" s="35">
        <v>3</v>
      </c>
      <c r="Z18" s="35">
        <v>0</v>
      </c>
      <c r="AA18" s="35">
        <f t="shared" si="2"/>
        <v>13</v>
      </c>
      <c r="AB18" s="40">
        <f t="shared" si="0"/>
        <v>26.4</v>
      </c>
      <c r="AC18" s="41">
        <f>2639.6/L18</f>
        <v>9.9984848484848481</v>
      </c>
      <c r="AD18" s="42">
        <v>54</v>
      </c>
      <c r="AE18" s="38">
        <v>62.7</v>
      </c>
      <c r="AF18" s="43">
        <v>76</v>
      </c>
      <c r="AG18" s="44">
        <v>2</v>
      </c>
      <c r="AH18" s="45"/>
      <c r="AI18" s="107"/>
    </row>
    <row r="19" spans="1:40" ht="21" customHeight="1" x14ac:dyDescent="0.3">
      <c r="A19" s="57">
        <v>17</v>
      </c>
      <c r="B19" s="36">
        <v>2005</v>
      </c>
      <c r="C19" s="36" t="s">
        <v>30</v>
      </c>
      <c r="D19" s="36" t="s">
        <v>31</v>
      </c>
      <c r="E19" s="36" t="s">
        <v>33</v>
      </c>
      <c r="F19" s="49">
        <v>2005</v>
      </c>
      <c r="G19" s="49" t="s">
        <v>30</v>
      </c>
      <c r="H19" s="49" t="s">
        <v>31</v>
      </c>
      <c r="I19" s="49" t="s">
        <v>33</v>
      </c>
      <c r="J19" s="42" t="s">
        <v>26</v>
      </c>
      <c r="K19" s="42"/>
      <c r="L19" s="46">
        <f>42+30+31+32+31</f>
        <v>166</v>
      </c>
      <c r="M19" s="48">
        <v>12</v>
      </c>
      <c r="N19" s="42">
        <v>13</v>
      </c>
      <c r="O19" s="46">
        <f t="shared" si="1"/>
        <v>25</v>
      </c>
      <c r="P19" s="50">
        <v>21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4</v>
      </c>
      <c r="W19" s="50"/>
      <c r="X19" s="48">
        <v>6</v>
      </c>
      <c r="Y19" s="42">
        <v>17</v>
      </c>
      <c r="Z19" s="42">
        <v>0</v>
      </c>
      <c r="AA19" s="42">
        <f t="shared" si="2"/>
        <v>23</v>
      </c>
      <c r="AB19" s="51">
        <f t="shared" si="0"/>
        <v>27.666666666666668</v>
      </c>
      <c r="AC19" s="52">
        <f>1780.09/L19</f>
        <v>10.723433734939759</v>
      </c>
      <c r="AD19" s="42">
        <v>51</v>
      </c>
      <c r="AE19" s="58">
        <v>57.5</v>
      </c>
      <c r="AF19" s="47">
        <v>12</v>
      </c>
      <c r="AG19" s="45">
        <v>2</v>
      </c>
      <c r="AH19" s="109"/>
      <c r="AI19" s="118" t="s">
        <v>122</v>
      </c>
    </row>
    <row r="20" spans="1:40" ht="21" customHeight="1" x14ac:dyDescent="0.3">
      <c r="A20" s="34">
        <v>18</v>
      </c>
      <c r="B20" s="49">
        <v>2011</v>
      </c>
      <c r="C20" s="49" t="s">
        <v>30</v>
      </c>
      <c r="D20" s="49" t="s">
        <v>31</v>
      </c>
      <c r="E20" s="49" t="s">
        <v>45</v>
      </c>
      <c r="F20" s="49">
        <v>2011</v>
      </c>
      <c r="G20" s="49" t="s">
        <v>30</v>
      </c>
      <c r="H20" s="49" t="s">
        <v>31</v>
      </c>
      <c r="I20" s="49" t="s">
        <v>85</v>
      </c>
      <c r="J20" s="55" t="s">
        <v>90</v>
      </c>
      <c r="K20" s="55"/>
      <c r="L20" s="46">
        <f>9+6+10+2</f>
        <v>27</v>
      </c>
      <c r="M20" s="48">
        <v>11</v>
      </c>
      <c r="N20" s="55">
        <v>1</v>
      </c>
      <c r="O20" s="46">
        <f t="shared" si="1"/>
        <v>12</v>
      </c>
      <c r="P20" s="50"/>
      <c r="Q20" s="50"/>
      <c r="R20" s="50"/>
      <c r="S20" s="50"/>
      <c r="T20" s="50"/>
      <c r="U20" s="50"/>
      <c r="V20" s="50"/>
      <c r="W20" s="50"/>
      <c r="X20" s="48">
        <v>3</v>
      </c>
      <c r="Y20" s="55">
        <v>22</v>
      </c>
      <c r="Z20" s="55">
        <v>0</v>
      </c>
      <c r="AA20" s="55">
        <f t="shared" si="2"/>
        <v>25</v>
      </c>
      <c r="AB20" s="40">
        <f t="shared" si="0"/>
        <v>9</v>
      </c>
      <c r="AC20" s="52">
        <f>37.75*8/L20</f>
        <v>11.185185185185185</v>
      </c>
      <c r="AD20" s="42">
        <v>21</v>
      </c>
      <c r="AE20" s="54">
        <v>59.02</v>
      </c>
      <c r="AF20" s="43"/>
      <c r="AG20" s="44">
        <v>12</v>
      </c>
      <c r="AH20" s="45"/>
      <c r="AI20" s="117" t="s">
        <v>121</v>
      </c>
    </row>
    <row r="21" spans="1:40" ht="21" customHeight="1" x14ac:dyDescent="0.3">
      <c r="A21" s="34">
        <v>19</v>
      </c>
      <c r="B21" s="49">
        <v>2012</v>
      </c>
      <c r="C21" s="49" t="s">
        <v>30</v>
      </c>
      <c r="D21" s="49" t="s">
        <v>87</v>
      </c>
      <c r="E21" s="49" t="s">
        <v>48</v>
      </c>
      <c r="F21" s="49">
        <v>2012</v>
      </c>
      <c r="G21" s="49" t="s">
        <v>83</v>
      </c>
      <c r="H21" s="49" t="s">
        <v>87</v>
      </c>
      <c r="I21" s="49" t="s">
        <v>88</v>
      </c>
      <c r="J21" s="55" t="s">
        <v>90</v>
      </c>
      <c r="K21" s="55">
        <v>245</v>
      </c>
      <c r="L21" s="46">
        <f>33+54+60+65+32</f>
        <v>244</v>
      </c>
      <c r="M21" s="48">
        <v>20</v>
      </c>
      <c r="N21" s="55">
        <v>14</v>
      </c>
      <c r="O21" s="46">
        <f>SUM(M21:N21)</f>
        <v>34</v>
      </c>
      <c r="P21" s="50">
        <v>23</v>
      </c>
      <c r="Q21" s="50">
        <v>1</v>
      </c>
      <c r="R21" s="50">
        <v>0</v>
      </c>
      <c r="S21" s="50">
        <v>0</v>
      </c>
      <c r="T21" s="50">
        <v>0</v>
      </c>
      <c r="U21" s="50">
        <v>0</v>
      </c>
      <c r="V21" s="50">
        <v>4</v>
      </c>
      <c r="W21" s="50"/>
      <c r="X21" s="48">
        <v>7</v>
      </c>
      <c r="Y21" s="55">
        <v>17</v>
      </c>
      <c r="Z21" s="55">
        <v>0</v>
      </c>
      <c r="AA21" s="55">
        <f t="shared" si="2"/>
        <v>24</v>
      </c>
      <c r="AB21" s="40">
        <f t="shared" si="0"/>
        <v>34.857142857142854</v>
      </c>
      <c r="AC21" s="52">
        <f>1109.4/L21</f>
        <v>4.5467213114754106</v>
      </c>
      <c r="AD21" s="42">
        <v>51</v>
      </c>
      <c r="AE21" s="54">
        <v>39.33</v>
      </c>
      <c r="AF21" s="43">
        <v>27</v>
      </c>
      <c r="AG21" s="44">
        <v>13</v>
      </c>
      <c r="AH21" s="45"/>
      <c r="AI21" s="37"/>
    </row>
    <row r="22" spans="1:40" ht="21" customHeight="1" x14ac:dyDescent="0.3">
      <c r="A22" s="57">
        <v>20</v>
      </c>
      <c r="B22" s="49">
        <v>2004</v>
      </c>
      <c r="C22" s="49" t="s">
        <v>30</v>
      </c>
      <c r="D22" s="49" t="s">
        <v>31</v>
      </c>
      <c r="E22" s="49" t="s">
        <v>112</v>
      </c>
      <c r="F22" s="49">
        <v>2004</v>
      </c>
      <c r="G22" s="49" t="s">
        <v>30</v>
      </c>
      <c r="H22" s="49" t="s">
        <v>31</v>
      </c>
      <c r="I22" s="49" t="s">
        <v>112</v>
      </c>
      <c r="J22" s="42" t="s">
        <v>26</v>
      </c>
      <c r="K22" s="42">
        <f>42+42+40</f>
        <v>124</v>
      </c>
      <c r="L22" s="46">
        <f>38+44+39+48+51</f>
        <v>220</v>
      </c>
      <c r="M22" s="48">
        <v>27</v>
      </c>
      <c r="N22" s="42">
        <v>14</v>
      </c>
      <c r="O22" s="46">
        <f t="shared" si="1"/>
        <v>41</v>
      </c>
      <c r="P22" s="50">
        <v>40</v>
      </c>
      <c r="Q22" s="50">
        <v>0</v>
      </c>
      <c r="R22" s="50">
        <v>0</v>
      </c>
      <c r="S22" s="50">
        <v>0</v>
      </c>
      <c r="T22" s="50">
        <v>0</v>
      </c>
      <c r="U22" s="50">
        <v>0</v>
      </c>
      <c r="V22" s="50">
        <v>3</v>
      </c>
      <c r="W22" s="50"/>
      <c r="X22" s="48">
        <v>5</v>
      </c>
      <c r="Y22" s="42">
        <v>5</v>
      </c>
      <c r="Z22" s="42">
        <v>0</v>
      </c>
      <c r="AA22" s="42">
        <f t="shared" si="2"/>
        <v>10</v>
      </c>
      <c r="AB22" s="51">
        <f t="shared" si="0"/>
        <v>44</v>
      </c>
      <c r="AC22" s="52">
        <f>1538/L22</f>
        <v>6.9909090909090912</v>
      </c>
      <c r="AD22" s="42">
        <v>51</v>
      </c>
      <c r="AE22" s="58">
        <v>14.46</v>
      </c>
      <c r="AF22" s="47">
        <v>14</v>
      </c>
      <c r="AG22" s="45">
        <v>0</v>
      </c>
      <c r="AH22" s="45"/>
      <c r="AI22" s="48"/>
    </row>
    <row r="23" spans="1:40" ht="21" customHeight="1" x14ac:dyDescent="0.3">
      <c r="A23" s="34">
        <v>21</v>
      </c>
      <c r="B23" s="36">
        <v>2002</v>
      </c>
      <c r="C23" s="36" t="s">
        <v>4</v>
      </c>
      <c r="D23" s="36" t="s">
        <v>51</v>
      </c>
      <c r="E23" s="36" t="s">
        <v>48</v>
      </c>
      <c r="F23" s="36">
        <v>2002</v>
      </c>
      <c r="G23" s="36" t="s">
        <v>4</v>
      </c>
      <c r="H23" s="36" t="s">
        <v>51</v>
      </c>
      <c r="I23" s="36" t="s">
        <v>48</v>
      </c>
      <c r="J23" s="35" t="s">
        <v>0</v>
      </c>
      <c r="K23" s="35">
        <f>55*5</f>
        <v>275</v>
      </c>
      <c r="L23" s="38">
        <f>50+44+64+46+58</f>
        <v>262</v>
      </c>
      <c r="M23" s="48">
        <v>24</v>
      </c>
      <c r="N23" s="42">
        <v>33</v>
      </c>
      <c r="O23" s="38">
        <f t="shared" si="1"/>
        <v>57</v>
      </c>
      <c r="P23" s="39">
        <v>43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1</v>
      </c>
      <c r="W23" s="39"/>
      <c r="X23" s="37">
        <v>7</v>
      </c>
      <c r="Y23" s="35">
        <v>3</v>
      </c>
      <c r="Z23" s="35">
        <v>0</v>
      </c>
      <c r="AA23" s="35">
        <f t="shared" si="2"/>
        <v>10</v>
      </c>
      <c r="AB23" s="40">
        <f t="shared" si="0"/>
        <v>37.428571428571431</v>
      </c>
      <c r="AC23" s="41">
        <f>550.484/L23+547.2*2/L23+410.4*4/L23+619.2*2/L23</f>
        <v>17.270549618320612</v>
      </c>
      <c r="AD23" s="35">
        <v>63</v>
      </c>
      <c r="AE23" s="40">
        <f>5.2+4.12+5.14+5.43+4.5+4.7+5.54+6.17+5.24+5.24</f>
        <v>51.280000000000008</v>
      </c>
      <c r="AF23" s="43">
        <v>14</v>
      </c>
      <c r="AG23" s="44">
        <v>14</v>
      </c>
      <c r="AH23" s="45"/>
      <c r="AI23" s="107"/>
    </row>
    <row r="24" spans="1:40" ht="21" customHeight="1" x14ac:dyDescent="0.3">
      <c r="A24" s="34">
        <v>22</v>
      </c>
      <c r="B24" s="36">
        <v>2002</v>
      </c>
      <c r="C24" s="36" t="s">
        <v>30</v>
      </c>
      <c r="D24" s="36" t="s">
        <v>31</v>
      </c>
      <c r="E24" s="36" t="s">
        <v>53</v>
      </c>
      <c r="F24" s="36">
        <v>2002</v>
      </c>
      <c r="G24" s="36" t="s">
        <v>30</v>
      </c>
      <c r="H24" s="36" t="s">
        <v>31</v>
      </c>
      <c r="I24" s="36" t="s">
        <v>53</v>
      </c>
      <c r="J24" s="35" t="s">
        <v>26</v>
      </c>
      <c r="K24" s="35">
        <v>280</v>
      </c>
      <c r="L24" s="38">
        <f>193+47+60+51+55</f>
        <v>406</v>
      </c>
      <c r="M24" s="37">
        <v>20</v>
      </c>
      <c r="N24" s="35">
        <v>32</v>
      </c>
      <c r="O24" s="38">
        <f t="shared" si="1"/>
        <v>52</v>
      </c>
      <c r="P24" s="39">
        <v>36</v>
      </c>
      <c r="Q24" s="39">
        <v>0</v>
      </c>
      <c r="R24" s="39">
        <v>0</v>
      </c>
      <c r="S24" s="39">
        <v>0</v>
      </c>
      <c r="T24" s="39">
        <v>1</v>
      </c>
      <c r="U24" s="39">
        <v>0</v>
      </c>
      <c r="V24" s="39">
        <v>13</v>
      </c>
      <c r="W24" s="39"/>
      <c r="X24" s="37">
        <v>8</v>
      </c>
      <c r="Y24" s="35">
        <v>13</v>
      </c>
      <c r="Z24" s="35">
        <v>0</v>
      </c>
      <c r="AA24" s="35">
        <f t="shared" si="2"/>
        <v>21</v>
      </c>
      <c r="AB24" s="40">
        <f t="shared" si="0"/>
        <v>50.75</v>
      </c>
      <c r="AC24" s="41">
        <f>2003.43/L24</f>
        <v>4.9345566502463054</v>
      </c>
      <c r="AD24" s="42">
        <v>51</v>
      </c>
      <c r="AE24" s="54">
        <v>64.61</v>
      </c>
      <c r="AF24" s="47">
        <v>19</v>
      </c>
      <c r="AG24" s="45">
        <v>4</v>
      </c>
      <c r="AH24" s="45"/>
      <c r="AI24" s="37"/>
    </row>
    <row r="25" spans="1:40" ht="21" customHeight="1" x14ac:dyDescent="0.3">
      <c r="A25" s="34">
        <v>23</v>
      </c>
      <c r="B25" s="49" t="s">
        <v>45</v>
      </c>
      <c r="C25" s="49" t="s">
        <v>30</v>
      </c>
      <c r="D25" s="36" t="s">
        <v>6</v>
      </c>
      <c r="E25" s="49" t="s">
        <v>117</v>
      </c>
      <c r="F25" s="49" t="s">
        <v>103</v>
      </c>
      <c r="G25" s="49" t="s">
        <v>83</v>
      </c>
      <c r="H25" s="36" t="s">
        <v>6</v>
      </c>
      <c r="I25" s="49" t="s">
        <v>117</v>
      </c>
      <c r="J25" s="55" t="s">
        <v>91</v>
      </c>
      <c r="K25" s="55">
        <f>77*5</f>
        <v>385</v>
      </c>
      <c r="L25" s="38">
        <f>15+18+16+18+20</f>
        <v>87</v>
      </c>
      <c r="M25" s="37">
        <v>9</v>
      </c>
      <c r="N25" s="35">
        <v>7</v>
      </c>
      <c r="O25" s="46">
        <f t="shared" si="1"/>
        <v>16</v>
      </c>
      <c r="P25" s="50">
        <v>8</v>
      </c>
      <c r="Q25" s="50">
        <v>1</v>
      </c>
      <c r="R25" s="50">
        <v>0</v>
      </c>
      <c r="S25" s="50">
        <v>0</v>
      </c>
      <c r="T25" s="50">
        <v>0</v>
      </c>
      <c r="U25" s="50">
        <v>0</v>
      </c>
      <c r="V25" s="50">
        <v>7</v>
      </c>
      <c r="W25" s="50"/>
      <c r="X25" s="37">
        <v>22</v>
      </c>
      <c r="Y25" s="35">
        <v>48</v>
      </c>
      <c r="Z25" s="35">
        <v>0</v>
      </c>
      <c r="AA25" s="35">
        <f t="shared" si="2"/>
        <v>70</v>
      </c>
      <c r="AB25" s="40">
        <f t="shared" si="0"/>
        <v>3.9545454545454546</v>
      </c>
      <c r="AC25" s="156">
        <f>4290/L25</f>
        <v>49.310344827586206</v>
      </c>
      <c r="AD25" s="153">
        <v>51</v>
      </c>
      <c r="AE25" s="157">
        <v>51.2</v>
      </c>
      <c r="AF25" s="158">
        <v>0</v>
      </c>
      <c r="AG25" s="159">
        <v>0</v>
      </c>
      <c r="AH25" s="45"/>
      <c r="AI25" s="37"/>
    </row>
    <row r="26" spans="1:40" ht="21" customHeight="1" x14ac:dyDescent="0.3">
      <c r="A26" s="34">
        <v>24</v>
      </c>
      <c r="B26" s="36">
        <v>2002</v>
      </c>
      <c r="C26" s="36" t="s">
        <v>4</v>
      </c>
      <c r="D26" s="36" t="s">
        <v>6</v>
      </c>
      <c r="E26" s="36" t="s">
        <v>117</v>
      </c>
      <c r="F26" s="36">
        <v>2002</v>
      </c>
      <c r="G26" s="36" t="s">
        <v>4</v>
      </c>
      <c r="H26" s="36" t="s">
        <v>6</v>
      </c>
      <c r="I26" s="36" t="s">
        <v>117</v>
      </c>
      <c r="J26" s="35" t="s">
        <v>26</v>
      </c>
      <c r="K26" s="55">
        <f>77*5</f>
        <v>385</v>
      </c>
      <c r="L26" s="38">
        <f>65+64+54+61+79</f>
        <v>323</v>
      </c>
      <c r="M26" s="37">
        <f>35+6</f>
        <v>41</v>
      </c>
      <c r="N26" s="35">
        <v>34</v>
      </c>
      <c r="O26" s="38">
        <f>M26+N26</f>
        <v>75</v>
      </c>
      <c r="P26" s="39">
        <v>40</v>
      </c>
      <c r="Q26" s="39">
        <v>3</v>
      </c>
      <c r="R26" s="39">
        <v>0</v>
      </c>
      <c r="S26" s="39">
        <v>1</v>
      </c>
      <c r="T26" s="39">
        <v>1</v>
      </c>
      <c r="U26" s="39">
        <v>1</v>
      </c>
      <c r="V26" s="39">
        <v>22</v>
      </c>
      <c r="W26" s="39"/>
      <c r="X26" s="37">
        <v>22</v>
      </c>
      <c r="Y26" s="35">
        <v>48</v>
      </c>
      <c r="Z26" s="35">
        <v>0</v>
      </c>
      <c r="AA26" s="35">
        <f t="shared" si="2"/>
        <v>70</v>
      </c>
      <c r="AB26" s="40">
        <f t="shared" si="0"/>
        <v>14.681818181818182</v>
      </c>
      <c r="AC26" s="156">
        <f>4290/L26</f>
        <v>13.281733746130032</v>
      </c>
      <c r="AD26" s="153">
        <v>51</v>
      </c>
      <c r="AE26" s="157">
        <v>51.2</v>
      </c>
      <c r="AF26" s="158">
        <v>143</v>
      </c>
      <c r="AG26" s="159">
        <v>11</v>
      </c>
      <c r="AH26" s="45"/>
      <c r="AI26" s="108"/>
    </row>
    <row r="27" spans="1:40" ht="21" customHeight="1" x14ac:dyDescent="0.3">
      <c r="A27" s="34">
        <v>25</v>
      </c>
      <c r="B27" s="36">
        <v>2002</v>
      </c>
      <c r="C27" s="36" t="s">
        <v>1</v>
      </c>
      <c r="D27" s="36" t="s">
        <v>2</v>
      </c>
      <c r="E27" s="36" t="s">
        <v>48</v>
      </c>
      <c r="F27" s="36">
        <v>2002</v>
      </c>
      <c r="G27" s="36" t="s">
        <v>1</v>
      </c>
      <c r="H27" s="36" t="s">
        <v>2</v>
      </c>
      <c r="I27" s="36" t="s">
        <v>48</v>
      </c>
      <c r="J27" s="35" t="s">
        <v>0</v>
      </c>
      <c r="K27" s="35">
        <f>30+33+28+23+39</f>
        <v>153</v>
      </c>
      <c r="L27" s="38">
        <f>30+33+28+28</f>
        <v>119</v>
      </c>
      <c r="M27" s="37">
        <v>16</v>
      </c>
      <c r="N27" s="35">
        <v>11</v>
      </c>
      <c r="O27" s="38">
        <f>M27+N27</f>
        <v>27</v>
      </c>
      <c r="P27" s="39">
        <v>25</v>
      </c>
      <c r="Q27" s="39">
        <v>1</v>
      </c>
      <c r="R27" s="39">
        <v>0</v>
      </c>
      <c r="S27" s="39">
        <v>0</v>
      </c>
      <c r="T27" s="39">
        <v>0</v>
      </c>
      <c r="U27" s="39">
        <v>0</v>
      </c>
      <c r="V27" s="39">
        <v>1</v>
      </c>
      <c r="W27" s="39"/>
      <c r="X27" s="37">
        <v>9</v>
      </c>
      <c r="Y27" s="35">
        <v>13</v>
      </c>
      <c r="Z27" s="35">
        <v>0</v>
      </c>
      <c r="AA27" s="35">
        <f t="shared" si="2"/>
        <v>22</v>
      </c>
      <c r="AB27" s="40">
        <f t="shared" si="0"/>
        <v>13.222222222222221</v>
      </c>
      <c r="AC27" s="152">
        <f>136.2*2/119+130.2*2/119+131.1*2/119+129.4*2/119+107.1*2/119</f>
        <v>10.655462184873951</v>
      </c>
      <c r="AD27" s="147">
        <v>54</v>
      </c>
      <c r="AE27" s="151">
        <f>3.49+3.75+3.89+4.44+6+5.54+5.54+5.54+13.1+13.1</f>
        <v>64.39</v>
      </c>
      <c r="AF27" s="158">
        <v>15</v>
      </c>
      <c r="AG27" s="159">
        <v>11</v>
      </c>
      <c r="AH27" s="45"/>
      <c r="AI27" s="37"/>
      <c r="AL27" s="103"/>
      <c r="AM27" s="103"/>
      <c r="AN27" s="103"/>
    </row>
    <row r="28" spans="1:40" ht="21" customHeight="1" x14ac:dyDescent="0.3">
      <c r="A28" s="34">
        <v>26</v>
      </c>
      <c r="B28" s="36">
        <v>2002</v>
      </c>
      <c r="C28" s="36" t="s">
        <v>30</v>
      </c>
      <c r="D28" s="36" t="s">
        <v>77</v>
      </c>
      <c r="E28" s="36" t="s">
        <v>70</v>
      </c>
      <c r="F28" s="36">
        <v>2002</v>
      </c>
      <c r="G28" s="36" t="s">
        <v>76</v>
      </c>
      <c r="H28" s="36" t="s">
        <v>77</v>
      </c>
      <c r="I28" s="36" t="s">
        <v>78</v>
      </c>
      <c r="J28" s="35" t="s">
        <v>74</v>
      </c>
      <c r="K28" s="35">
        <f>36+30+36+33+30</f>
        <v>165</v>
      </c>
      <c r="L28" s="38">
        <f>31+26+41+37+29</f>
        <v>164</v>
      </c>
      <c r="M28" s="37">
        <f>13+1</f>
        <v>14</v>
      </c>
      <c r="N28" s="35">
        <f>14+0</f>
        <v>14</v>
      </c>
      <c r="O28" s="38">
        <f t="shared" si="1"/>
        <v>28</v>
      </c>
      <c r="P28" s="39">
        <v>15</v>
      </c>
      <c r="Q28" s="39">
        <v>1</v>
      </c>
      <c r="R28" s="39">
        <v>0</v>
      </c>
      <c r="S28" s="39">
        <v>0</v>
      </c>
      <c r="T28" s="39">
        <v>1</v>
      </c>
      <c r="U28" s="39">
        <v>1</v>
      </c>
      <c r="V28" s="39">
        <v>0</v>
      </c>
      <c r="W28" s="39"/>
      <c r="X28" s="37">
        <v>6</v>
      </c>
      <c r="Y28" s="35">
        <v>22</v>
      </c>
      <c r="Z28" s="35">
        <v>1</v>
      </c>
      <c r="AA28" s="35">
        <f t="shared" si="2"/>
        <v>29</v>
      </c>
      <c r="AB28" s="40">
        <f t="shared" si="0"/>
        <v>27.333333333333332</v>
      </c>
      <c r="AC28" s="152">
        <f>1286.8/154</f>
        <v>8.3558441558441547</v>
      </c>
      <c r="AD28" s="147">
        <v>54</v>
      </c>
      <c r="AE28" s="151">
        <v>51.2</v>
      </c>
      <c r="AF28" s="154">
        <v>17</v>
      </c>
      <c r="AG28" s="155">
        <v>2</v>
      </c>
      <c r="AH28" s="45"/>
      <c r="AI28" s="37"/>
      <c r="AL28" s="104"/>
      <c r="AM28" s="105"/>
      <c r="AN28" s="104"/>
    </row>
    <row r="29" spans="1:40" ht="21" customHeight="1" x14ac:dyDescent="0.3">
      <c r="A29" s="34">
        <v>27</v>
      </c>
      <c r="B29" s="36">
        <v>2002</v>
      </c>
      <c r="C29" s="36" t="s">
        <v>1</v>
      </c>
      <c r="D29" s="36" t="s">
        <v>31</v>
      </c>
      <c r="E29" s="36" t="s">
        <v>48</v>
      </c>
      <c r="F29" s="36">
        <v>2002</v>
      </c>
      <c r="G29" s="36" t="s">
        <v>1</v>
      </c>
      <c r="H29" s="36" t="s">
        <v>31</v>
      </c>
      <c r="I29" s="36" t="s">
        <v>52</v>
      </c>
      <c r="J29" s="35" t="s">
        <v>0</v>
      </c>
      <c r="K29" s="42">
        <f>45*5</f>
        <v>225</v>
      </c>
      <c r="L29" s="38">
        <f>37+38+30+32+54</f>
        <v>191</v>
      </c>
      <c r="M29" s="37">
        <v>20</v>
      </c>
      <c r="N29" s="35">
        <f>27+4</f>
        <v>31</v>
      </c>
      <c r="O29" s="38">
        <f t="shared" si="1"/>
        <v>51</v>
      </c>
      <c r="P29" s="39">
        <v>31</v>
      </c>
      <c r="Q29" s="39">
        <v>2</v>
      </c>
      <c r="R29" s="39">
        <v>0</v>
      </c>
      <c r="S29" s="39">
        <v>5</v>
      </c>
      <c r="T29" s="39">
        <v>1</v>
      </c>
      <c r="U29" s="39">
        <v>1</v>
      </c>
      <c r="V29" s="39">
        <v>11</v>
      </c>
      <c r="W29" s="39"/>
      <c r="X29" s="37">
        <v>7</v>
      </c>
      <c r="Y29" s="35">
        <v>20</v>
      </c>
      <c r="Z29" s="35">
        <v>0</v>
      </c>
      <c r="AA29" s="35">
        <f t="shared" si="2"/>
        <v>27</v>
      </c>
      <c r="AB29" s="40">
        <f t="shared" si="0"/>
        <v>27.285714285714285</v>
      </c>
      <c r="AC29" s="152">
        <f>(168+168+144+144+144+144+168+120+216+162)/L29</f>
        <v>8.2617801047120416</v>
      </c>
      <c r="AD29" s="147">
        <v>54</v>
      </c>
      <c r="AE29" s="160">
        <f>662/10</f>
        <v>66.2</v>
      </c>
      <c r="AF29" s="154">
        <v>0</v>
      </c>
      <c r="AG29" s="155">
        <v>0</v>
      </c>
      <c r="AH29" s="45"/>
      <c r="AI29" s="37"/>
      <c r="AL29" s="104"/>
      <c r="AM29" s="105"/>
      <c r="AN29" s="104"/>
    </row>
    <row r="30" spans="1:40" ht="21" customHeight="1" x14ac:dyDescent="0.3">
      <c r="A30" s="34">
        <v>28</v>
      </c>
      <c r="B30" s="49">
        <v>2002</v>
      </c>
      <c r="C30" s="49" t="s">
        <v>1</v>
      </c>
      <c r="D30" s="49" t="s">
        <v>31</v>
      </c>
      <c r="E30" s="49" t="s">
        <v>53</v>
      </c>
      <c r="F30" s="49">
        <v>2002</v>
      </c>
      <c r="G30" s="49" t="s">
        <v>1</v>
      </c>
      <c r="H30" s="49" t="s">
        <v>31</v>
      </c>
      <c r="I30" s="49" t="s">
        <v>53</v>
      </c>
      <c r="J30" s="55" t="s">
        <v>42</v>
      </c>
      <c r="K30" s="55">
        <f>38+38+39+39+39</f>
        <v>193</v>
      </c>
      <c r="L30" s="38">
        <f>38.6+34.6+43+46+59</f>
        <v>221.2</v>
      </c>
      <c r="M30" s="48">
        <f>26+8</f>
        <v>34</v>
      </c>
      <c r="N30" s="55">
        <f>13+4</f>
        <v>17</v>
      </c>
      <c r="O30" s="46">
        <f t="shared" si="1"/>
        <v>51</v>
      </c>
      <c r="P30" s="50">
        <f>16+5</f>
        <v>21</v>
      </c>
      <c r="Q30" s="50">
        <v>2</v>
      </c>
      <c r="R30" s="50">
        <v>0</v>
      </c>
      <c r="S30" s="50">
        <v>2</v>
      </c>
      <c r="T30" s="50">
        <v>1</v>
      </c>
      <c r="U30" s="50">
        <v>3</v>
      </c>
      <c r="V30" s="50">
        <f>17+5</f>
        <v>22</v>
      </c>
      <c r="W30" s="50"/>
      <c r="X30" s="48">
        <v>10</v>
      </c>
      <c r="Y30" s="55">
        <v>18</v>
      </c>
      <c r="Z30" s="55">
        <v>0</v>
      </c>
      <c r="AA30" s="55">
        <f t="shared" si="2"/>
        <v>28</v>
      </c>
      <c r="AB30" s="51">
        <f t="shared" si="0"/>
        <v>22.119999999999997</v>
      </c>
      <c r="AC30" s="156">
        <f>2164.48/L30</f>
        <v>9.7851717902350828</v>
      </c>
      <c r="AD30" s="153">
        <v>47</v>
      </c>
      <c r="AE30" s="151">
        <v>54.3</v>
      </c>
      <c r="AF30" s="158">
        <v>49</v>
      </c>
      <c r="AG30" s="159">
        <v>1</v>
      </c>
      <c r="AH30" s="45"/>
      <c r="AI30" s="117" t="s">
        <v>124</v>
      </c>
    </row>
    <row r="31" spans="1:40" ht="21" customHeight="1" x14ac:dyDescent="0.3">
      <c r="A31" s="34">
        <v>29</v>
      </c>
      <c r="B31" s="49">
        <v>2006</v>
      </c>
      <c r="C31" s="49" t="s">
        <v>30</v>
      </c>
      <c r="D31" s="49" t="s">
        <v>86</v>
      </c>
      <c r="E31" s="49" t="s">
        <v>48</v>
      </c>
      <c r="F31" s="49">
        <v>2006</v>
      </c>
      <c r="G31" s="49" t="s">
        <v>30</v>
      </c>
      <c r="H31" s="49" t="s">
        <v>86</v>
      </c>
      <c r="I31" s="49" t="s">
        <v>88</v>
      </c>
      <c r="J31" s="55" t="s">
        <v>90</v>
      </c>
      <c r="K31" s="55">
        <f>40*5</f>
        <v>200</v>
      </c>
      <c r="L31" s="46">
        <f>38+33+42+47+26</f>
        <v>186</v>
      </c>
      <c r="M31" s="48">
        <v>13</v>
      </c>
      <c r="N31" s="55">
        <v>7</v>
      </c>
      <c r="O31" s="46">
        <f t="shared" si="1"/>
        <v>20</v>
      </c>
      <c r="P31" s="50">
        <v>12</v>
      </c>
      <c r="Q31" s="50">
        <v>1</v>
      </c>
      <c r="R31" s="50">
        <v>0</v>
      </c>
      <c r="S31" s="50">
        <v>2</v>
      </c>
      <c r="T31" s="50">
        <v>0</v>
      </c>
      <c r="U31" s="50">
        <v>0</v>
      </c>
      <c r="V31" s="50">
        <v>4</v>
      </c>
      <c r="W31" s="50"/>
      <c r="X31" s="48">
        <v>7</v>
      </c>
      <c r="Y31" s="55">
        <v>28</v>
      </c>
      <c r="Z31" s="55">
        <v>0</v>
      </c>
      <c r="AA31" s="55">
        <f t="shared" si="2"/>
        <v>35</v>
      </c>
      <c r="AB31" s="51">
        <f t="shared" si="0"/>
        <v>26.571428571428573</v>
      </c>
      <c r="AC31" s="156">
        <f>1452/L31</f>
        <v>7.806451612903226</v>
      </c>
      <c r="AD31" s="153">
        <v>54</v>
      </c>
      <c r="AE31" s="157">
        <v>52.8</v>
      </c>
      <c r="AF31" s="154">
        <f>44+23</f>
        <v>67</v>
      </c>
      <c r="AG31" s="155">
        <v>11</v>
      </c>
      <c r="AH31" s="45"/>
      <c r="AI31" s="37"/>
    </row>
    <row r="32" spans="1:40" ht="21" customHeight="1" x14ac:dyDescent="0.3">
      <c r="A32" s="34">
        <v>30</v>
      </c>
      <c r="B32" s="49">
        <v>2002</v>
      </c>
      <c r="C32" s="49" t="s">
        <v>1</v>
      </c>
      <c r="D32" s="49" t="s">
        <v>2</v>
      </c>
      <c r="E32" s="49" t="s">
        <v>3</v>
      </c>
      <c r="F32" s="49">
        <v>2002</v>
      </c>
      <c r="G32" s="49" t="s">
        <v>1</v>
      </c>
      <c r="H32" s="49" t="s">
        <v>2</v>
      </c>
      <c r="I32" s="49" t="s">
        <v>3</v>
      </c>
      <c r="J32" s="42" t="s">
        <v>0</v>
      </c>
      <c r="K32" s="42">
        <f>55+55+53+56+56</f>
        <v>275</v>
      </c>
      <c r="L32" s="46">
        <f>52+47+53+47+78</f>
        <v>277</v>
      </c>
      <c r="M32" s="48">
        <v>25</v>
      </c>
      <c r="N32" s="42">
        <v>18</v>
      </c>
      <c r="O32" s="46">
        <f t="shared" si="1"/>
        <v>43</v>
      </c>
      <c r="P32" s="50">
        <f>15+6</f>
        <v>21</v>
      </c>
      <c r="Q32" s="50">
        <v>4</v>
      </c>
      <c r="R32" s="50">
        <v>1</v>
      </c>
      <c r="S32" s="50">
        <v>0</v>
      </c>
      <c r="T32" s="50">
        <v>0</v>
      </c>
      <c r="U32" s="50">
        <v>3</v>
      </c>
      <c r="V32" s="50">
        <v>14</v>
      </c>
      <c r="W32" s="50"/>
      <c r="X32" s="48">
        <v>13</v>
      </c>
      <c r="Y32" s="42">
        <v>16</v>
      </c>
      <c r="Z32" s="42">
        <v>0</v>
      </c>
      <c r="AA32" s="42">
        <f t="shared" si="2"/>
        <v>29</v>
      </c>
      <c r="AB32" s="59">
        <f t="shared" si="0"/>
        <v>21.307692307692307</v>
      </c>
      <c r="AC32" s="52">
        <f>2159.4/L32</f>
        <v>7.7956678700361017</v>
      </c>
      <c r="AD32" s="42">
        <v>52</v>
      </c>
      <c r="AE32" s="40">
        <v>67.61</v>
      </c>
      <c r="AF32" s="43">
        <v>20</v>
      </c>
      <c r="AG32" s="44">
        <v>4</v>
      </c>
      <c r="AH32" s="45"/>
      <c r="AI32" s="37"/>
    </row>
    <row r="33" spans="1:40" ht="21" customHeight="1" x14ac:dyDescent="0.3">
      <c r="A33" s="34">
        <v>31</v>
      </c>
      <c r="B33" s="49">
        <v>2002</v>
      </c>
      <c r="C33" s="49" t="s">
        <v>1</v>
      </c>
      <c r="D33" s="49" t="s">
        <v>2</v>
      </c>
      <c r="E33" s="49" t="s">
        <v>33</v>
      </c>
      <c r="F33" s="49">
        <v>2002</v>
      </c>
      <c r="G33" s="49" t="s">
        <v>1</v>
      </c>
      <c r="H33" s="49" t="s">
        <v>2</v>
      </c>
      <c r="I33" s="49" t="s">
        <v>73</v>
      </c>
      <c r="J33" s="42" t="s">
        <v>79</v>
      </c>
      <c r="K33" s="42">
        <f>51+51+26+26+26</f>
        <v>180</v>
      </c>
      <c r="L33" s="46">
        <f>67+50+25+36+38</f>
        <v>216</v>
      </c>
      <c r="M33" s="48">
        <v>22</v>
      </c>
      <c r="N33" s="42">
        <v>12</v>
      </c>
      <c r="O33" s="46">
        <f t="shared" si="1"/>
        <v>34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1</v>
      </c>
      <c r="W33" s="50"/>
      <c r="X33" s="48">
        <v>9</v>
      </c>
      <c r="Y33" s="42">
        <v>29</v>
      </c>
      <c r="Z33" s="42">
        <v>0</v>
      </c>
      <c r="AA33" s="42">
        <f t="shared" si="2"/>
        <v>38</v>
      </c>
      <c r="AB33" s="51">
        <f t="shared" si="0"/>
        <v>24</v>
      </c>
      <c r="AC33" s="52">
        <f>(247.65+247.65+149.27+97.79+119)*2/L33</f>
        <v>7.9755555555555553</v>
      </c>
      <c r="AD33" s="42">
        <v>48</v>
      </c>
      <c r="AE33" s="38">
        <v>57.2</v>
      </c>
      <c r="AF33" s="43">
        <v>4</v>
      </c>
      <c r="AG33" s="44">
        <v>3</v>
      </c>
      <c r="AH33" s="45"/>
      <c r="AI33" s="37"/>
    </row>
    <row r="34" spans="1:40" ht="21" customHeight="1" x14ac:dyDescent="0.3">
      <c r="A34" s="34">
        <v>32</v>
      </c>
      <c r="B34" s="49">
        <v>2002</v>
      </c>
      <c r="C34" s="49" t="s">
        <v>7</v>
      </c>
      <c r="D34" s="49" t="s">
        <v>8</v>
      </c>
      <c r="E34" s="49" t="s">
        <v>3</v>
      </c>
      <c r="F34" s="49">
        <v>2002</v>
      </c>
      <c r="G34" s="49" t="s">
        <v>7</v>
      </c>
      <c r="H34" s="49" t="s">
        <v>8</v>
      </c>
      <c r="I34" s="49" t="s">
        <v>3</v>
      </c>
      <c r="J34" s="55" t="s">
        <v>44</v>
      </c>
      <c r="K34" s="55">
        <f>38*5</f>
        <v>190</v>
      </c>
      <c r="L34" s="46">
        <f>38+28+37+47+37</f>
        <v>187</v>
      </c>
      <c r="M34" s="48">
        <v>11</v>
      </c>
      <c r="N34" s="55">
        <v>14</v>
      </c>
      <c r="O34" s="46">
        <f t="shared" si="1"/>
        <v>25</v>
      </c>
      <c r="P34" s="50">
        <v>6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15</v>
      </c>
      <c r="W34" s="50"/>
      <c r="X34" s="48">
        <v>26</v>
      </c>
      <c r="Y34" s="55">
        <v>17</v>
      </c>
      <c r="Z34" s="55">
        <v>0</v>
      </c>
      <c r="AA34" s="55">
        <f t="shared" si="2"/>
        <v>43</v>
      </c>
      <c r="AB34" s="51">
        <f t="shared" si="0"/>
        <v>7.1923076923076925</v>
      </c>
      <c r="AC34" s="52">
        <f>2299.92/K34</f>
        <v>12.104842105263158</v>
      </c>
      <c r="AD34" s="42">
        <v>52</v>
      </c>
      <c r="AE34" s="40">
        <v>62.7</v>
      </c>
      <c r="AF34" s="43">
        <v>54</v>
      </c>
      <c r="AG34" s="44">
        <v>8</v>
      </c>
      <c r="AH34" s="45"/>
      <c r="AI34" s="37"/>
    </row>
    <row r="35" spans="1:40" ht="21" customHeight="1" x14ac:dyDescent="0.3">
      <c r="A35" s="34">
        <v>33</v>
      </c>
      <c r="B35" s="36">
        <v>2002</v>
      </c>
      <c r="C35" s="36" t="s">
        <v>30</v>
      </c>
      <c r="D35" s="36" t="s">
        <v>31</v>
      </c>
      <c r="E35" s="36" t="s">
        <v>54</v>
      </c>
      <c r="F35" s="36">
        <v>2002</v>
      </c>
      <c r="G35" s="36" t="s">
        <v>30</v>
      </c>
      <c r="H35" s="36" t="s">
        <v>31</v>
      </c>
      <c r="I35" s="36" t="s">
        <v>54</v>
      </c>
      <c r="J35" s="35" t="s">
        <v>26</v>
      </c>
      <c r="K35" s="35">
        <f>29+29+29+30+30</f>
        <v>147</v>
      </c>
      <c r="L35" s="38">
        <f>36+29+33+37+31</f>
        <v>166</v>
      </c>
      <c r="M35" s="37">
        <v>15</v>
      </c>
      <c r="N35" s="35">
        <v>12</v>
      </c>
      <c r="O35" s="38">
        <f t="shared" si="1"/>
        <v>27</v>
      </c>
      <c r="P35" s="39">
        <v>19</v>
      </c>
      <c r="Q35" s="39">
        <v>2</v>
      </c>
      <c r="R35" s="39">
        <v>1</v>
      </c>
      <c r="S35" s="39">
        <v>0</v>
      </c>
      <c r="T35" s="39">
        <v>0</v>
      </c>
      <c r="U35" s="39">
        <v>0</v>
      </c>
      <c r="V35" s="39">
        <v>4</v>
      </c>
      <c r="W35" s="39"/>
      <c r="X35" s="37">
        <v>8</v>
      </c>
      <c r="Y35" s="35">
        <v>29</v>
      </c>
      <c r="Z35" s="35">
        <v>0</v>
      </c>
      <c r="AA35" s="35">
        <f t="shared" si="2"/>
        <v>37</v>
      </c>
      <c r="AB35" s="40">
        <f t="shared" ref="AB35:AB74" si="3">L35/X35</f>
        <v>20.75</v>
      </c>
      <c r="AC35" s="41">
        <f>1596.7/L35</f>
        <v>9.6186746987951803</v>
      </c>
      <c r="AD35" s="42">
        <v>48</v>
      </c>
      <c r="AE35" s="54">
        <v>61.6</v>
      </c>
      <c r="AF35" s="43">
        <v>19</v>
      </c>
      <c r="AG35" s="44">
        <v>2</v>
      </c>
      <c r="AH35" s="45"/>
      <c r="AI35" s="117" t="s">
        <v>123</v>
      </c>
    </row>
    <row r="36" spans="1:40" ht="21" customHeight="1" x14ac:dyDescent="0.3">
      <c r="A36" s="34">
        <v>34</v>
      </c>
      <c r="B36" s="49">
        <v>2003</v>
      </c>
      <c r="C36" s="49" t="s">
        <v>4</v>
      </c>
      <c r="D36" s="49" t="s">
        <v>2</v>
      </c>
      <c r="E36" s="49" t="s">
        <v>48</v>
      </c>
      <c r="F36" s="49">
        <v>2003</v>
      </c>
      <c r="G36" s="49" t="s">
        <v>4</v>
      </c>
      <c r="H36" s="49" t="s">
        <v>2</v>
      </c>
      <c r="I36" s="49" t="s">
        <v>55</v>
      </c>
      <c r="J36" s="55" t="s">
        <v>44</v>
      </c>
      <c r="K36" s="55">
        <f>44+41+45+46+43</f>
        <v>219</v>
      </c>
      <c r="L36" s="46">
        <f>45+33+41+39+52</f>
        <v>210</v>
      </c>
      <c r="M36" s="48">
        <f>18+6</f>
        <v>24</v>
      </c>
      <c r="N36" s="55">
        <v>12</v>
      </c>
      <c r="O36" s="46">
        <f t="shared" si="1"/>
        <v>36</v>
      </c>
      <c r="P36" s="50">
        <v>3</v>
      </c>
      <c r="Q36" s="50">
        <v>1</v>
      </c>
      <c r="R36" s="50">
        <v>1</v>
      </c>
      <c r="S36" s="50">
        <v>0</v>
      </c>
      <c r="T36" s="50">
        <v>0</v>
      </c>
      <c r="U36" s="50">
        <v>1</v>
      </c>
      <c r="V36" s="50">
        <v>2</v>
      </c>
      <c r="W36" s="50"/>
      <c r="X36" s="48">
        <v>9</v>
      </c>
      <c r="Y36" s="55">
        <v>40</v>
      </c>
      <c r="Z36" s="55">
        <v>0</v>
      </c>
      <c r="AA36" s="55">
        <f t="shared" si="2"/>
        <v>49</v>
      </c>
      <c r="AB36" s="51">
        <f t="shared" si="3"/>
        <v>23.333333333333332</v>
      </c>
      <c r="AC36" s="52">
        <f>3407.46/L36</f>
        <v>16.225999999999999</v>
      </c>
      <c r="AD36" s="35">
        <v>54</v>
      </c>
      <c r="AE36" s="40">
        <v>83.6</v>
      </c>
      <c r="AF36" s="47">
        <v>120</v>
      </c>
      <c r="AG36" s="45">
        <v>13</v>
      </c>
      <c r="AH36" s="45"/>
      <c r="AI36" s="37"/>
    </row>
    <row r="37" spans="1:40" ht="21" customHeight="1" x14ac:dyDescent="0.3">
      <c r="A37" s="34">
        <v>35</v>
      </c>
      <c r="B37" s="60">
        <v>2002</v>
      </c>
      <c r="C37" s="60" t="s">
        <v>24</v>
      </c>
      <c r="D37" s="60" t="s">
        <v>29</v>
      </c>
      <c r="E37" s="56" t="s">
        <v>146</v>
      </c>
      <c r="F37" s="60">
        <v>2002</v>
      </c>
      <c r="G37" s="60" t="s">
        <v>24</v>
      </c>
      <c r="H37" s="60" t="s">
        <v>29</v>
      </c>
      <c r="I37" s="56" t="s">
        <v>25</v>
      </c>
      <c r="J37" s="35" t="s">
        <v>26</v>
      </c>
      <c r="K37" s="37">
        <f>55+(105*0.55)</f>
        <v>112.75</v>
      </c>
      <c r="L37" s="38">
        <f>86+76+69+67+80</f>
        <v>378</v>
      </c>
      <c r="M37" s="48">
        <f>28+17</f>
        <v>45</v>
      </c>
      <c r="N37" s="35">
        <f>16+23</f>
        <v>39</v>
      </c>
      <c r="O37" s="46">
        <f>SUM(K37:N37)</f>
        <v>574.75</v>
      </c>
      <c r="P37" s="39">
        <f>18+16</f>
        <v>34</v>
      </c>
      <c r="Q37" s="39">
        <v>7</v>
      </c>
      <c r="R37" s="39">
        <v>0</v>
      </c>
      <c r="S37" s="39">
        <v>0</v>
      </c>
      <c r="T37" s="39">
        <v>0</v>
      </c>
      <c r="U37" s="39">
        <v>4</v>
      </c>
      <c r="V37" s="39">
        <f>22+17</f>
        <v>39</v>
      </c>
      <c r="W37" s="39"/>
      <c r="X37" s="37">
        <v>9</v>
      </c>
      <c r="Y37" s="35">
        <v>24</v>
      </c>
      <c r="Z37" s="35">
        <v>0</v>
      </c>
      <c r="AA37" s="35">
        <f t="shared" si="2"/>
        <v>33</v>
      </c>
      <c r="AB37" s="40">
        <f t="shared" si="3"/>
        <v>42</v>
      </c>
      <c r="AC37" s="41">
        <f>(173.2+173.5+138.8+176.5+176.5+174.9+174.9+173.2+261.5)/L37</f>
        <v>4.2936507936507935</v>
      </c>
      <c r="AD37" s="35">
        <v>60</v>
      </c>
      <c r="AE37" s="40">
        <v>51.7</v>
      </c>
      <c r="AF37" s="43">
        <v>46</v>
      </c>
      <c r="AG37" s="44">
        <v>9</v>
      </c>
      <c r="AH37" s="45"/>
      <c r="AI37" s="117" t="s">
        <v>125</v>
      </c>
    </row>
    <row r="38" spans="1:40" ht="21" customHeight="1" x14ac:dyDescent="0.3">
      <c r="A38" s="34">
        <v>36</v>
      </c>
      <c r="B38" s="36">
        <v>2002</v>
      </c>
      <c r="C38" s="36" t="s">
        <v>34</v>
      </c>
      <c r="D38" s="36" t="s">
        <v>31</v>
      </c>
      <c r="E38" s="36" t="s">
        <v>48</v>
      </c>
      <c r="F38" s="36">
        <v>2002</v>
      </c>
      <c r="G38" s="36" t="s">
        <v>99</v>
      </c>
      <c r="H38" s="36" t="s">
        <v>102</v>
      </c>
      <c r="I38" s="36" t="s">
        <v>100</v>
      </c>
      <c r="J38" s="35" t="s">
        <v>101</v>
      </c>
      <c r="K38" s="35">
        <f>25+24+27+27+27</f>
        <v>130</v>
      </c>
      <c r="L38" s="38">
        <f>28+23+32+26+38</f>
        <v>147</v>
      </c>
      <c r="M38" s="37">
        <v>16</v>
      </c>
      <c r="N38" s="35">
        <v>10</v>
      </c>
      <c r="O38" s="38">
        <f t="shared" si="1"/>
        <v>26</v>
      </c>
      <c r="P38" s="39">
        <v>18</v>
      </c>
      <c r="Q38" s="39">
        <v>3</v>
      </c>
      <c r="R38" s="39">
        <v>0</v>
      </c>
      <c r="S38" s="39">
        <v>2</v>
      </c>
      <c r="T38" s="39">
        <v>1</v>
      </c>
      <c r="U38" s="39">
        <v>0</v>
      </c>
      <c r="V38" s="39">
        <v>2</v>
      </c>
      <c r="W38" s="39"/>
      <c r="X38" s="37">
        <v>7</v>
      </c>
      <c r="Y38" s="35">
        <v>17</v>
      </c>
      <c r="Z38" s="35">
        <v>0</v>
      </c>
      <c r="AA38" s="35">
        <f t="shared" si="2"/>
        <v>24</v>
      </c>
      <c r="AB38" s="40">
        <f t="shared" si="3"/>
        <v>21</v>
      </c>
      <c r="AC38" s="41">
        <f>(194.4+194.4+194.4+194.4+194.4+194.4+103.5+129.6+129.6+129.6)/L38</f>
        <v>11.283673469387754</v>
      </c>
      <c r="AD38" s="42">
        <v>50</v>
      </c>
      <c r="AE38" s="40">
        <v>52.6</v>
      </c>
      <c r="AF38" s="43">
        <v>15</v>
      </c>
      <c r="AG38" s="44">
        <v>5</v>
      </c>
      <c r="AH38" s="45"/>
      <c r="AI38" s="108"/>
      <c r="AL38" s="105"/>
      <c r="AM38" s="105"/>
      <c r="AN38" s="105"/>
    </row>
    <row r="39" spans="1:40" ht="21" customHeight="1" x14ac:dyDescent="0.3">
      <c r="A39" s="34">
        <v>37</v>
      </c>
      <c r="B39" s="60">
        <v>2003</v>
      </c>
      <c r="C39" s="60" t="s">
        <v>30</v>
      </c>
      <c r="D39" s="60" t="s">
        <v>31</v>
      </c>
      <c r="E39" s="56" t="s">
        <v>33</v>
      </c>
      <c r="F39" s="60">
        <v>2003</v>
      </c>
      <c r="G39" s="60" t="s">
        <v>30</v>
      </c>
      <c r="H39" s="60" t="s">
        <v>31</v>
      </c>
      <c r="I39" s="56" t="s">
        <v>33</v>
      </c>
      <c r="J39" s="35" t="s">
        <v>26</v>
      </c>
      <c r="K39" s="35">
        <f>60+60+30+30+30</f>
        <v>210</v>
      </c>
      <c r="L39" s="38">
        <f>68+47+24+32+34</f>
        <v>205</v>
      </c>
      <c r="M39" s="37">
        <v>12</v>
      </c>
      <c r="N39" s="35">
        <v>15</v>
      </c>
      <c r="O39" s="38">
        <f t="shared" ref="O39:O56" si="4">SUM(M39:N39)</f>
        <v>27</v>
      </c>
      <c r="P39" s="39">
        <v>16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5</v>
      </c>
      <c r="W39" s="39"/>
      <c r="X39" s="37">
        <v>17</v>
      </c>
      <c r="Y39" s="35">
        <v>21</v>
      </c>
      <c r="Z39" s="35">
        <v>0</v>
      </c>
      <c r="AA39" s="35">
        <f t="shared" ref="AA39:AA65" si="5">SUM(X39:Z39)</f>
        <v>38</v>
      </c>
      <c r="AB39" s="40">
        <f t="shared" si="3"/>
        <v>12.058823529411764</v>
      </c>
      <c r="AC39" s="41">
        <f>1432.1/L39</f>
        <v>6.9858536585365849</v>
      </c>
      <c r="AD39" s="35">
        <v>51</v>
      </c>
      <c r="AE39" s="54">
        <v>49.5</v>
      </c>
      <c r="AF39" s="43">
        <v>0</v>
      </c>
      <c r="AG39" s="44">
        <v>0</v>
      </c>
      <c r="AH39" s="45"/>
      <c r="AI39" s="108"/>
    </row>
    <row r="40" spans="1:40" ht="21" customHeight="1" x14ac:dyDescent="0.3">
      <c r="A40" s="34">
        <v>38</v>
      </c>
      <c r="B40" s="36">
        <v>2003</v>
      </c>
      <c r="C40" s="36" t="s">
        <v>4</v>
      </c>
      <c r="D40" s="36" t="s">
        <v>2</v>
      </c>
      <c r="E40" s="36" t="s">
        <v>3</v>
      </c>
      <c r="F40" s="36">
        <v>2003</v>
      </c>
      <c r="G40" s="36" t="s">
        <v>4</v>
      </c>
      <c r="H40" s="36" t="s">
        <v>2</v>
      </c>
      <c r="I40" s="36" t="s">
        <v>3</v>
      </c>
      <c r="J40" s="35" t="s">
        <v>26</v>
      </c>
      <c r="K40" s="42">
        <v>73</v>
      </c>
      <c r="L40" s="38">
        <f>77+35+38+32+35</f>
        <v>217</v>
      </c>
      <c r="M40" s="37">
        <v>15</v>
      </c>
      <c r="N40" s="35">
        <v>9</v>
      </c>
      <c r="O40" s="38">
        <f t="shared" si="4"/>
        <v>24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3</v>
      </c>
      <c r="V40" s="39">
        <v>21</v>
      </c>
      <c r="W40" s="39"/>
      <c r="X40" s="37">
        <v>15</v>
      </c>
      <c r="Y40" s="35">
        <v>31</v>
      </c>
      <c r="Z40" s="35">
        <v>0</v>
      </c>
      <c r="AA40" s="35">
        <f t="shared" si="5"/>
        <v>46</v>
      </c>
      <c r="AB40" s="40">
        <f t="shared" si="3"/>
        <v>14.466666666666667</v>
      </c>
      <c r="AC40" s="41">
        <f>1670/L40</f>
        <v>7.6958525345622117</v>
      </c>
      <c r="AD40" s="35">
        <v>54</v>
      </c>
      <c r="AE40" s="38">
        <v>57.3</v>
      </c>
      <c r="AF40" s="43">
        <v>163</v>
      </c>
      <c r="AG40" s="44">
        <v>5</v>
      </c>
      <c r="AH40" s="45"/>
      <c r="AI40" s="161" t="s">
        <v>145</v>
      </c>
    </row>
    <row r="41" spans="1:40" ht="21" customHeight="1" x14ac:dyDescent="0.3">
      <c r="A41" s="34">
        <v>39</v>
      </c>
      <c r="B41" s="36">
        <v>2003</v>
      </c>
      <c r="C41" s="36" t="s">
        <v>4</v>
      </c>
      <c r="D41" s="36" t="s">
        <v>2</v>
      </c>
      <c r="E41" s="36" t="s">
        <v>3</v>
      </c>
      <c r="F41" s="36">
        <v>2003</v>
      </c>
      <c r="G41" s="36" t="s">
        <v>4</v>
      </c>
      <c r="H41" s="36" t="s">
        <v>2</v>
      </c>
      <c r="I41" s="36" t="s">
        <v>3</v>
      </c>
      <c r="J41" s="35" t="s">
        <v>26</v>
      </c>
      <c r="K41" s="42">
        <f>98/2</f>
        <v>49</v>
      </c>
      <c r="L41" s="38">
        <f>98+53+39+44+42</f>
        <v>276</v>
      </c>
      <c r="M41" s="48">
        <v>13</v>
      </c>
      <c r="N41" s="42">
        <v>13</v>
      </c>
      <c r="O41" s="38">
        <f t="shared" si="4"/>
        <v>26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/>
      <c r="X41" s="37">
        <v>15</v>
      </c>
      <c r="Y41" s="35">
        <v>34</v>
      </c>
      <c r="Z41" s="35">
        <v>0</v>
      </c>
      <c r="AA41" s="35">
        <f t="shared" si="5"/>
        <v>49</v>
      </c>
      <c r="AB41" s="40">
        <f t="shared" si="3"/>
        <v>18.399999999999999</v>
      </c>
      <c r="AC41" s="41">
        <f>1770.72/L41</f>
        <v>6.4156521739130437</v>
      </c>
      <c r="AD41" s="42">
        <v>48</v>
      </c>
      <c r="AE41" s="40">
        <v>57.5</v>
      </c>
      <c r="AF41" s="43">
        <v>0</v>
      </c>
      <c r="AG41" s="44">
        <v>0</v>
      </c>
      <c r="AH41" s="45"/>
      <c r="AI41" s="162" t="s">
        <v>126</v>
      </c>
    </row>
    <row r="42" spans="1:40" ht="21" customHeight="1" x14ac:dyDescent="0.3">
      <c r="A42" s="34">
        <v>40</v>
      </c>
      <c r="B42" s="36">
        <v>2002</v>
      </c>
      <c r="C42" s="36" t="s">
        <v>4</v>
      </c>
      <c r="D42" s="36" t="s">
        <v>69</v>
      </c>
      <c r="E42" s="36" t="s">
        <v>137</v>
      </c>
      <c r="F42" s="36">
        <v>2002</v>
      </c>
      <c r="G42" s="36" t="s">
        <v>4</v>
      </c>
      <c r="H42" s="36" t="s">
        <v>31</v>
      </c>
      <c r="I42" s="36" t="s">
        <v>56</v>
      </c>
      <c r="J42" s="35" t="s">
        <v>26</v>
      </c>
      <c r="K42" s="35">
        <f>127/3+36+36+36+36</f>
        <v>186.33333333333334</v>
      </c>
      <c r="L42" s="38">
        <f>140+42+36+40+57</f>
        <v>315</v>
      </c>
      <c r="M42" s="37">
        <v>18</v>
      </c>
      <c r="N42" s="35">
        <v>38</v>
      </c>
      <c r="O42" s="38">
        <f t="shared" si="4"/>
        <v>56</v>
      </c>
      <c r="P42" s="39">
        <v>32</v>
      </c>
      <c r="Q42" s="39">
        <v>1</v>
      </c>
      <c r="R42" s="39">
        <v>0</v>
      </c>
      <c r="S42" s="39">
        <v>3</v>
      </c>
      <c r="T42" s="39">
        <v>1</v>
      </c>
      <c r="U42" s="39">
        <v>2</v>
      </c>
      <c r="V42" s="39">
        <v>17</v>
      </c>
      <c r="W42" s="39"/>
      <c r="X42" s="37">
        <v>15</v>
      </c>
      <c r="Y42" s="35">
        <v>32</v>
      </c>
      <c r="Z42" s="35">
        <v>0</v>
      </c>
      <c r="AA42" s="35">
        <f t="shared" si="5"/>
        <v>47</v>
      </c>
      <c r="AB42" s="40">
        <f t="shared" si="3"/>
        <v>21</v>
      </c>
      <c r="AC42" s="41">
        <f>(178+178+229+229+230+230+229+229+264+264)/L42</f>
        <v>7.1746031746031749</v>
      </c>
      <c r="AD42" s="35">
        <v>52</v>
      </c>
      <c r="AE42" s="40">
        <v>49.46</v>
      </c>
      <c r="AF42" s="47">
        <v>0</v>
      </c>
      <c r="AG42" s="45">
        <v>0</v>
      </c>
      <c r="AH42" s="45"/>
      <c r="AI42" s="162" t="s">
        <v>126</v>
      </c>
    </row>
    <row r="43" spans="1:40" ht="21" customHeight="1" x14ac:dyDescent="0.3">
      <c r="A43" s="34">
        <v>41</v>
      </c>
      <c r="B43" s="25">
        <v>2002</v>
      </c>
      <c r="C43" s="25" t="s">
        <v>4</v>
      </c>
      <c r="D43" s="25" t="s">
        <v>57</v>
      </c>
      <c r="E43" s="25" t="s">
        <v>58</v>
      </c>
      <c r="F43" s="25">
        <v>2002</v>
      </c>
      <c r="G43" s="25" t="s">
        <v>4</v>
      </c>
      <c r="H43" s="25" t="s">
        <v>57</v>
      </c>
      <c r="I43" s="25" t="s">
        <v>58</v>
      </c>
      <c r="J43" s="24" t="s">
        <v>0</v>
      </c>
      <c r="K43" s="61">
        <f>40*5</f>
        <v>200</v>
      </c>
      <c r="L43" s="27">
        <f>34+41+54+26+60</f>
        <v>215</v>
      </c>
      <c r="M43" s="26">
        <v>11</v>
      </c>
      <c r="N43" s="24">
        <v>19</v>
      </c>
      <c r="O43" s="27">
        <f t="shared" si="4"/>
        <v>30</v>
      </c>
      <c r="P43" s="28">
        <v>22</v>
      </c>
      <c r="Q43" s="28">
        <v>1</v>
      </c>
      <c r="R43" s="28">
        <v>3</v>
      </c>
      <c r="S43" s="28">
        <v>4</v>
      </c>
      <c r="T43" s="28">
        <v>0</v>
      </c>
      <c r="U43" s="28">
        <v>0</v>
      </c>
      <c r="V43" s="28">
        <v>0</v>
      </c>
      <c r="W43" s="28">
        <v>6</v>
      </c>
      <c r="X43" s="26">
        <v>7</v>
      </c>
      <c r="Y43" s="24">
        <v>19</v>
      </c>
      <c r="Z43" s="24">
        <v>0</v>
      </c>
      <c r="AA43" s="24">
        <f t="shared" si="5"/>
        <v>26</v>
      </c>
      <c r="AB43" s="29">
        <f t="shared" si="3"/>
        <v>30.714285714285715</v>
      </c>
      <c r="AC43" s="30">
        <f>1934.8/L43</f>
        <v>8.9990697674418598</v>
      </c>
      <c r="AD43" s="35">
        <f>16+36</f>
        <v>52</v>
      </c>
      <c r="AE43" s="29">
        <v>55.5</v>
      </c>
      <c r="AF43" s="62">
        <v>17</v>
      </c>
      <c r="AG43" s="63">
        <v>9</v>
      </c>
      <c r="AH43" s="45"/>
      <c r="AI43" s="162" t="s">
        <v>126</v>
      </c>
    </row>
    <row r="44" spans="1:40" ht="21" customHeight="1" x14ac:dyDescent="0.3">
      <c r="A44" s="34">
        <v>42</v>
      </c>
      <c r="B44" s="49">
        <v>2002</v>
      </c>
      <c r="C44" s="49" t="s">
        <v>30</v>
      </c>
      <c r="D44" s="49" t="s">
        <v>31</v>
      </c>
      <c r="E44" s="49" t="s">
        <v>48</v>
      </c>
      <c r="F44" s="49">
        <v>2002</v>
      </c>
      <c r="G44" s="49" t="s">
        <v>59</v>
      </c>
      <c r="H44" s="49" t="s">
        <v>31</v>
      </c>
      <c r="I44" s="49" t="s">
        <v>55</v>
      </c>
      <c r="J44" s="55" t="s">
        <v>60</v>
      </c>
      <c r="K44" s="55">
        <f>37+37+37+43+43</f>
        <v>197</v>
      </c>
      <c r="L44" s="46">
        <f>39+51+45+29+37</f>
        <v>201</v>
      </c>
      <c r="M44" s="48">
        <v>16</v>
      </c>
      <c r="N44" s="55">
        <v>15</v>
      </c>
      <c r="O44" s="46">
        <f t="shared" si="4"/>
        <v>31</v>
      </c>
      <c r="P44" s="50">
        <v>11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50">
        <v>1</v>
      </c>
      <c r="W44" s="50"/>
      <c r="X44" s="48">
        <v>5</v>
      </c>
      <c r="Y44" s="55">
        <v>16</v>
      </c>
      <c r="Z44" s="55">
        <v>0</v>
      </c>
      <c r="AA44" s="55">
        <f t="shared" si="5"/>
        <v>21</v>
      </c>
      <c r="AB44" s="51">
        <f t="shared" si="3"/>
        <v>40.200000000000003</v>
      </c>
      <c r="AC44" s="52">
        <f>1842/L44</f>
        <v>9.1641791044776113</v>
      </c>
      <c r="AD44" s="42">
        <v>51</v>
      </c>
      <c r="AE44" s="40">
        <v>37.1</v>
      </c>
      <c r="AF44" s="43">
        <v>15</v>
      </c>
      <c r="AG44" s="44">
        <v>3</v>
      </c>
      <c r="AH44" s="45"/>
      <c r="AI44" s="37"/>
    </row>
    <row r="45" spans="1:40" ht="21" customHeight="1" x14ac:dyDescent="0.3">
      <c r="A45" s="34">
        <v>43</v>
      </c>
      <c r="B45" s="65">
        <v>2003</v>
      </c>
      <c r="C45" s="65" t="s">
        <v>4</v>
      </c>
      <c r="D45" s="65" t="s">
        <v>2</v>
      </c>
      <c r="E45" s="65" t="s">
        <v>3</v>
      </c>
      <c r="F45" s="65">
        <v>2003</v>
      </c>
      <c r="G45" s="65" t="s">
        <v>4</v>
      </c>
      <c r="H45" s="65" t="s">
        <v>2</v>
      </c>
      <c r="I45" s="65" t="s">
        <v>3</v>
      </c>
      <c r="J45" s="64" t="s">
        <v>26</v>
      </c>
      <c r="K45" s="64" t="s">
        <v>127</v>
      </c>
      <c r="L45" s="79">
        <f>25+26+26+31+31+4</f>
        <v>143</v>
      </c>
      <c r="M45" s="66">
        <v>0</v>
      </c>
      <c r="N45" s="64">
        <f>16+12</f>
        <v>28</v>
      </c>
      <c r="O45" s="46">
        <f t="shared" si="4"/>
        <v>28</v>
      </c>
      <c r="P45" s="67">
        <f>8+6</f>
        <v>14</v>
      </c>
      <c r="Q45" s="67">
        <v>1</v>
      </c>
      <c r="R45" s="67">
        <v>0</v>
      </c>
      <c r="S45" s="67">
        <v>0</v>
      </c>
      <c r="T45" s="67">
        <v>1</v>
      </c>
      <c r="U45" s="67">
        <v>4</v>
      </c>
      <c r="V45" s="67">
        <v>8</v>
      </c>
      <c r="W45" s="67"/>
      <c r="X45" s="66">
        <v>11</v>
      </c>
      <c r="Y45" s="64">
        <v>15</v>
      </c>
      <c r="Z45" s="64">
        <v>0</v>
      </c>
      <c r="AA45" s="64">
        <f t="shared" si="5"/>
        <v>26</v>
      </c>
      <c r="AB45" s="51">
        <f t="shared" si="3"/>
        <v>13</v>
      </c>
      <c r="AC45" s="68">
        <f>(139.28+153.53+168.33+137.56+147.14+168.33+148.33+140.5+140.5+69.64+69.64)/L45</f>
        <v>10.369090909090911</v>
      </c>
      <c r="AD45" s="42">
        <v>51</v>
      </c>
      <c r="AE45" s="69">
        <f>(14.21+23.14+36+40+65+61.7+80+51.42+68.57+144+37.89)/10</f>
        <v>62.192999999999998</v>
      </c>
      <c r="AF45" s="47">
        <v>44</v>
      </c>
      <c r="AG45" s="45">
        <v>2</v>
      </c>
      <c r="AH45" s="45"/>
      <c r="AI45" s="108"/>
    </row>
    <row r="46" spans="1:40" ht="21" customHeight="1" x14ac:dyDescent="0.3">
      <c r="A46" s="34">
        <v>44</v>
      </c>
      <c r="B46" s="72">
        <v>2002</v>
      </c>
      <c r="C46" s="72" t="s">
        <v>30</v>
      </c>
      <c r="D46" s="36" t="s">
        <v>31</v>
      </c>
      <c r="E46" s="72" t="s">
        <v>33</v>
      </c>
      <c r="F46" s="72">
        <v>2002</v>
      </c>
      <c r="G46" s="72" t="s">
        <v>30</v>
      </c>
      <c r="H46" s="36" t="s">
        <v>31</v>
      </c>
      <c r="I46" s="72" t="s">
        <v>33</v>
      </c>
      <c r="J46" s="71" t="s">
        <v>26</v>
      </c>
      <c r="K46" s="97">
        <f>88+89+89+89+89</f>
        <v>444</v>
      </c>
      <c r="L46" s="74">
        <f>41+38+43+42+41</f>
        <v>205</v>
      </c>
      <c r="M46" s="73">
        <v>22</v>
      </c>
      <c r="N46" s="71">
        <v>9</v>
      </c>
      <c r="O46" s="74">
        <f t="shared" si="4"/>
        <v>31</v>
      </c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/>
      <c r="X46" s="73">
        <v>12</v>
      </c>
      <c r="Y46" s="71">
        <v>33</v>
      </c>
      <c r="Z46" s="71">
        <v>0</v>
      </c>
      <c r="AA46" s="71">
        <f t="shared" si="5"/>
        <v>45</v>
      </c>
      <c r="AB46" s="40">
        <f t="shared" si="3"/>
        <v>17.083333333333332</v>
      </c>
      <c r="AC46" s="76">
        <f>1013.66/L46</f>
        <v>4.9446829268292678</v>
      </c>
      <c r="AD46" s="42">
        <v>51</v>
      </c>
      <c r="AE46" s="54">
        <v>59.9</v>
      </c>
      <c r="AF46" s="43">
        <v>31</v>
      </c>
      <c r="AG46" s="44">
        <v>2</v>
      </c>
      <c r="AH46" s="45"/>
      <c r="AI46" s="37"/>
    </row>
    <row r="47" spans="1:40" ht="21" customHeight="1" x14ac:dyDescent="0.3">
      <c r="A47" s="34">
        <v>45</v>
      </c>
      <c r="B47" s="72">
        <v>2002</v>
      </c>
      <c r="C47" s="72" t="s">
        <v>1</v>
      </c>
      <c r="D47" s="72" t="s">
        <v>2</v>
      </c>
      <c r="E47" s="72" t="s">
        <v>61</v>
      </c>
      <c r="F47" s="72">
        <v>2002</v>
      </c>
      <c r="G47" s="72" t="s">
        <v>1</v>
      </c>
      <c r="H47" s="72" t="s">
        <v>2</v>
      </c>
      <c r="I47" s="72" t="s">
        <v>61</v>
      </c>
      <c r="J47" s="71" t="s">
        <v>26</v>
      </c>
      <c r="K47" s="71">
        <v>48</v>
      </c>
      <c r="L47" s="74">
        <f>28+23+30+37+35</f>
        <v>153</v>
      </c>
      <c r="M47" s="73">
        <v>11</v>
      </c>
      <c r="N47" s="71">
        <v>9</v>
      </c>
      <c r="O47" s="74">
        <f t="shared" si="4"/>
        <v>20</v>
      </c>
      <c r="P47" s="75">
        <v>5</v>
      </c>
      <c r="Q47" s="75">
        <v>0</v>
      </c>
      <c r="R47" s="75">
        <v>0</v>
      </c>
      <c r="S47" s="75">
        <v>0</v>
      </c>
      <c r="T47" s="75">
        <v>0</v>
      </c>
      <c r="U47" s="75">
        <v>3</v>
      </c>
      <c r="V47" s="75">
        <v>12</v>
      </c>
      <c r="W47" s="75"/>
      <c r="X47" s="73">
        <v>14</v>
      </c>
      <c r="Y47" s="71">
        <v>34</v>
      </c>
      <c r="Z47" s="71">
        <v>0</v>
      </c>
      <c r="AA47" s="71">
        <f t="shared" si="5"/>
        <v>48</v>
      </c>
      <c r="AB47" s="40">
        <f t="shared" si="3"/>
        <v>10.928571428571429</v>
      </c>
      <c r="AC47" s="76">
        <f>1696.6/L47</f>
        <v>11.088888888888889</v>
      </c>
      <c r="AD47" s="97">
        <v>55</v>
      </c>
      <c r="AE47" s="69">
        <v>55.6</v>
      </c>
      <c r="AF47" s="77">
        <v>54</v>
      </c>
      <c r="AG47" s="70">
        <v>10</v>
      </c>
      <c r="AH47" s="45"/>
      <c r="AI47" s="108"/>
    </row>
    <row r="48" spans="1:40" ht="21" customHeight="1" x14ac:dyDescent="0.3">
      <c r="A48" s="34">
        <v>46</v>
      </c>
      <c r="B48" s="72">
        <v>2002</v>
      </c>
      <c r="C48" s="72" t="s">
        <v>135</v>
      </c>
      <c r="D48" s="72" t="s">
        <v>31</v>
      </c>
      <c r="E48" s="72" t="s">
        <v>48</v>
      </c>
      <c r="F48" s="72">
        <v>2002</v>
      </c>
      <c r="G48" s="72" t="s">
        <v>30</v>
      </c>
      <c r="H48" s="72" t="s">
        <v>31</v>
      </c>
      <c r="I48" s="72" t="s">
        <v>80</v>
      </c>
      <c r="J48" s="71" t="s">
        <v>81</v>
      </c>
      <c r="K48" s="71">
        <f>40*5</f>
        <v>200</v>
      </c>
      <c r="L48" s="74">
        <f>45+52+43+40+32</f>
        <v>212</v>
      </c>
      <c r="M48" s="73">
        <v>13</v>
      </c>
      <c r="N48" s="71">
        <v>11</v>
      </c>
      <c r="O48" s="74">
        <f t="shared" si="4"/>
        <v>24</v>
      </c>
      <c r="P48" s="75">
        <v>10</v>
      </c>
      <c r="Q48" s="75">
        <v>0</v>
      </c>
      <c r="R48" s="75">
        <v>0</v>
      </c>
      <c r="S48" s="75">
        <v>0</v>
      </c>
      <c r="T48" s="75">
        <v>0</v>
      </c>
      <c r="U48" s="75">
        <v>0</v>
      </c>
      <c r="V48" s="75">
        <v>1</v>
      </c>
      <c r="W48" s="75"/>
      <c r="X48" s="73">
        <v>6</v>
      </c>
      <c r="Y48" s="71">
        <v>18</v>
      </c>
      <c r="Z48" s="71">
        <v>0</v>
      </c>
      <c r="AA48" s="71">
        <f t="shared" si="5"/>
        <v>24</v>
      </c>
      <c r="AB48" s="40">
        <f t="shared" si="3"/>
        <v>35.333333333333336</v>
      </c>
      <c r="AC48" s="76">
        <f>(174.6+174.6+170.3+170.3+143.7+143.7+143.7+181.9+181.9+143.7)/L48</f>
        <v>7.6811320754716998</v>
      </c>
      <c r="AD48" s="71">
        <v>54</v>
      </c>
      <c r="AE48" s="69">
        <v>7.58</v>
      </c>
      <c r="AF48" s="77">
        <v>16</v>
      </c>
      <c r="AG48" s="70">
        <v>3</v>
      </c>
      <c r="AH48" s="45"/>
      <c r="AI48" s="117"/>
    </row>
    <row r="49" spans="1:40" ht="21" customHeight="1" x14ac:dyDescent="0.3">
      <c r="A49" s="34">
        <v>47</v>
      </c>
      <c r="B49" s="72">
        <v>2003</v>
      </c>
      <c r="C49" s="72" t="s">
        <v>1</v>
      </c>
      <c r="D49" s="72" t="s">
        <v>2</v>
      </c>
      <c r="E49" s="72" t="s">
        <v>48</v>
      </c>
      <c r="F49" s="72">
        <v>2003</v>
      </c>
      <c r="G49" s="72" t="s">
        <v>1</v>
      </c>
      <c r="H49" s="72" t="s">
        <v>2</v>
      </c>
      <c r="I49" s="72" t="s">
        <v>92</v>
      </c>
      <c r="J49" s="71" t="s">
        <v>44</v>
      </c>
      <c r="K49" s="71">
        <f>20*5</f>
        <v>100</v>
      </c>
      <c r="L49" s="74">
        <f>17+19+20+39+32</f>
        <v>127</v>
      </c>
      <c r="M49" s="73">
        <v>9</v>
      </c>
      <c r="N49" s="71">
        <f>15+6</f>
        <v>21</v>
      </c>
      <c r="O49" s="74">
        <f t="shared" si="4"/>
        <v>30</v>
      </c>
      <c r="P49" s="75">
        <v>17</v>
      </c>
      <c r="Q49" s="75">
        <v>0</v>
      </c>
      <c r="R49" s="75">
        <v>0</v>
      </c>
      <c r="S49" s="75">
        <v>0</v>
      </c>
      <c r="T49" s="75">
        <v>0</v>
      </c>
      <c r="U49" s="75">
        <v>2</v>
      </c>
      <c r="V49" s="75">
        <v>11</v>
      </c>
      <c r="W49" s="75"/>
      <c r="X49" s="73">
        <v>5</v>
      </c>
      <c r="Y49" s="71">
        <v>23</v>
      </c>
      <c r="Z49" s="71">
        <v>0</v>
      </c>
      <c r="AA49" s="71">
        <f t="shared" si="5"/>
        <v>28</v>
      </c>
      <c r="AB49" s="40">
        <f t="shared" si="3"/>
        <v>25.4</v>
      </c>
      <c r="AC49" s="76">
        <f>(109+109+154+154+178+178+146+146)/L49</f>
        <v>9.2440944881889759</v>
      </c>
      <c r="AD49" s="97">
        <v>50</v>
      </c>
      <c r="AE49" s="69">
        <f>(84.7+80+57.6+62.6+41.1+41.1+60+51.4)/10</f>
        <v>47.85</v>
      </c>
      <c r="AF49" s="77">
        <v>26</v>
      </c>
      <c r="AG49" s="70">
        <v>3</v>
      </c>
      <c r="AH49" s="45"/>
      <c r="AI49" s="108"/>
      <c r="AL49" s="103"/>
      <c r="AM49" s="103"/>
      <c r="AN49" s="103"/>
    </row>
    <row r="50" spans="1:40" ht="21" customHeight="1" x14ac:dyDescent="0.3">
      <c r="A50" s="34">
        <v>48</v>
      </c>
      <c r="B50" s="65">
        <v>2002</v>
      </c>
      <c r="C50" s="65" t="s">
        <v>30</v>
      </c>
      <c r="D50" s="65" t="s">
        <v>31</v>
      </c>
      <c r="E50" s="65" t="s">
        <v>48</v>
      </c>
      <c r="F50" s="65">
        <v>2002</v>
      </c>
      <c r="G50" s="65" t="s">
        <v>30</v>
      </c>
      <c r="H50" s="65" t="s">
        <v>31</v>
      </c>
      <c r="I50" s="65" t="s">
        <v>48</v>
      </c>
      <c r="J50" s="64" t="s">
        <v>44</v>
      </c>
      <c r="K50" s="64">
        <f>36*5</f>
        <v>180</v>
      </c>
      <c r="L50" s="79">
        <f>39+47+55+46+60</f>
        <v>247</v>
      </c>
      <c r="M50" s="66">
        <v>38</v>
      </c>
      <c r="N50" s="64">
        <v>8</v>
      </c>
      <c r="O50" s="79">
        <f t="shared" si="4"/>
        <v>46</v>
      </c>
      <c r="P50" s="67">
        <v>35</v>
      </c>
      <c r="Q50" s="67">
        <v>0</v>
      </c>
      <c r="R50" s="67">
        <v>0</v>
      </c>
      <c r="S50" s="67">
        <v>3</v>
      </c>
      <c r="T50" s="67">
        <v>1</v>
      </c>
      <c r="U50" s="67">
        <v>0</v>
      </c>
      <c r="V50" s="67">
        <v>5</v>
      </c>
      <c r="W50" s="67"/>
      <c r="X50" s="66">
        <v>7</v>
      </c>
      <c r="Y50" s="64">
        <v>19</v>
      </c>
      <c r="Z50" s="64">
        <v>0</v>
      </c>
      <c r="AA50" s="64">
        <f t="shared" si="5"/>
        <v>26</v>
      </c>
      <c r="AB50" s="51">
        <f t="shared" si="3"/>
        <v>35.285714285714285</v>
      </c>
      <c r="AC50" s="81">
        <f>1632.92/L50</f>
        <v>6.6110121457489885</v>
      </c>
      <c r="AD50" s="97">
        <v>50</v>
      </c>
      <c r="AE50" s="84">
        <v>35.21</v>
      </c>
      <c r="AF50" s="80">
        <v>28</v>
      </c>
      <c r="AG50" s="78">
        <v>6</v>
      </c>
      <c r="AH50" s="45"/>
      <c r="AI50" s="37"/>
    </row>
    <row r="51" spans="1:40" ht="21" customHeight="1" x14ac:dyDescent="0.3">
      <c r="A51" s="34">
        <v>49</v>
      </c>
      <c r="B51" s="65">
        <v>2003</v>
      </c>
      <c r="C51" s="65" t="s">
        <v>30</v>
      </c>
      <c r="D51" s="65" t="s">
        <v>2</v>
      </c>
      <c r="E51" s="65" t="s">
        <v>33</v>
      </c>
      <c r="F51" s="65">
        <v>2003</v>
      </c>
      <c r="G51" s="65" t="s">
        <v>30</v>
      </c>
      <c r="H51" s="65" t="s">
        <v>2</v>
      </c>
      <c r="I51" s="65" t="s">
        <v>33</v>
      </c>
      <c r="J51" s="64" t="s">
        <v>26</v>
      </c>
      <c r="K51" s="64">
        <f>65*5</f>
        <v>325</v>
      </c>
      <c r="L51" s="79">
        <f>45+47+40+49+43</f>
        <v>224</v>
      </c>
      <c r="M51" s="66">
        <v>22</v>
      </c>
      <c r="N51" s="64">
        <v>14</v>
      </c>
      <c r="O51" s="79">
        <f t="shared" si="4"/>
        <v>36</v>
      </c>
      <c r="P51" s="67">
        <v>30</v>
      </c>
      <c r="Q51" s="67">
        <v>0</v>
      </c>
      <c r="R51" s="67">
        <v>0</v>
      </c>
      <c r="S51" s="67">
        <v>0</v>
      </c>
      <c r="T51" s="67">
        <v>0</v>
      </c>
      <c r="U51" s="67">
        <v>4</v>
      </c>
      <c r="V51" s="67">
        <v>0</v>
      </c>
      <c r="W51" s="67"/>
      <c r="X51" s="66">
        <v>16</v>
      </c>
      <c r="Y51" s="64">
        <v>0</v>
      </c>
      <c r="Z51" s="64">
        <v>0</v>
      </c>
      <c r="AA51" s="64">
        <f t="shared" si="5"/>
        <v>16</v>
      </c>
      <c r="AB51" s="51">
        <f t="shared" si="3"/>
        <v>14</v>
      </c>
      <c r="AC51" s="81">
        <f>(93.95+93.95+98.18+98.18+153.41+154.41+114.38+114.38+98.18+98.18)/L51</f>
        <v>4.9874999999999998</v>
      </c>
      <c r="AD51" s="71">
        <v>54</v>
      </c>
      <c r="AE51" s="82">
        <f>2.76+2.634+4.909+4.909+4.695+5.684+4.695+5.684+4.695+4.8+6.171+5.538</f>
        <v>57.173999999999992</v>
      </c>
      <c r="AF51" s="77">
        <v>0</v>
      </c>
      <c r="AG51" s="70">
        <v>0</v>
      </c>
      <c r="AH51" s="45"/>
      <c r="AI51" s="37"/>
    </row>
    <row r="52" spans="1:40" ht="21" customHeight="1" x14ac:dyDescent="0.3">
      <c r="A52" s="34">
        <v>50</v>
      </c>
      <c r="B52" s="65">
        <v>2003</v>
      </c>
      <c r="C52" s="65" t="s">
        <v>34</v>
      </c>
      <c r="D52" s="65" t="s">
        <v>31</v>
      </c>
      <c r="E52" s="65" t="s">
        <v>33</v>
      </c>
      <c r="F52" s="65">
        <v>2003</v>
      </c>
      <c r="G52" s="65" t="s">
        <v>82</v>
      </c>
      <c r="H52" s="65" t="s">
        <v>31</v>
      </c>
      <c r="I52" s="65" t="s">
        <v>33</v>
      </c>
      <c r="J52" s="64" t="s">
        <v>91</v>
      </c>
      <c r="K52" s="64">
        <f>41*5</f>
        <v>205</v>
      </c>
      <c r="L52" s="79">
        <f>42+21+18+26+36</f>
        <v>143</v>
      </c>
      <c r="M52" s="66">
        <v>15</v>
      </c>
      <c r="N52" s="64">
        <v>9</v>
      </c>
      <c r="O52" s="79">
        <f t="shared" si="4"/>
        <v>24</v>
      </c>
      <c r="P52" s="67">
        <v>20</v>
      </c>
      <c r="Q52" s="67">
        <v>1</v>
      </c>
      <c r="R52" s="67">
        <v>0</v>
      </c>
      <c r="S52" s="67">
        <v>0</v>
      </c>
      <c r="T52" s="67">
        <v>0</v>
      </c>
      <c r="U52" s="67">
        <v>0</v>
      </c>
      <c r="V52" s="67">
        <v>3</v>
      </c>
      <c r="W52" s="67"/>
      <c r="X52" s="66">
        <v>11</v>
      </c>
      <c r="Y52" s="64">
        <v>14</v>
      </c>
      <c r="Z52" s="64">
        <v>0</v>
      </c>
      <c r="AA52" s="64">
        <f t="shared" si="5"/>
        <v>25</v>
      </c>
      <c r="AB52" s="51">
        <f t="shared" si="3"/>
        <v>13</v>
      </c>
      <c r="AC52" s="81">
        <f>836.52/L52</f>
        <v>5.8497902097902097</v>
      </c>
      <c r="AD52" s="42">
        <v>51</v>
      </c>
      <c r="AE52" s="82">
        <v>52.43</v>
      </c>
      <c r="AF52" s="77">
        <v>12</v>
      </c>
      <c r="AG52" s="70">
        <v>3</v>
      </c>
      <c r="AH52" s="45"/>
      <c r="AI52" s="37"/>
    </row>
    <row r="53" spans="1:40" ht="21" customHeight="1" x14ac:dyDescent="0.3">
      <c r="A53" s="34">
        <v>51</v>
      </c>
      <c r="B53" s="72">
        <v>2002</v>
      </c>
      <c r="C53" s="72" t="s">
        <v>30</v>
      </c>
      <c r="D53" s="72" t="s">
        <v>31</v>
      </c>
      <c r="E53" s="72" t="s">
        <v>33</v>
      </c>
      <c r="F53" s="72">
        <v>2002</v>
      </c>
      <c r="G53" s="72" t="s">
        <v>30</v>
      </c>
      <c r="H53" s="72" t="s">
        <v>31</v>
      </c>
      <c r="I53" s="72" t="s">
        <v>33</v>
      </c>
      <c r="J53" s="71" t="s">
        <v>26</v>
      </c>
      <c r="K53" s="97">
        <v>73</v>
      </c>
      <c r="L53" s="74">
        <f>82+39+42+37+52</f>
        <v>252</v>
      </c>
      <c r="M53" s="73">
        <v>27</v>
      </c>
      <c r="N53" s="71">
        <v>18</v>
      </c>
      <c r="O53" s="74">
        <f t="shared" si="4"/>
        <v>45</v>
      </c>
      <c r="P53" s="75">
        <v>33</v>
      </c>
      <c r="Q53" s="75">
        <v>1</v>
      </c>
      <c r="R53" s="75">
        <v>0</v>
      </c>
      <c r="S53" s="75">
        <v>0</v>
      </c>
      <c r="T53" s="75">
        <v>0</v>
      </c>
      <c r="U53" s="75">
        <v>1</v>
      </c>
      <c r="V53" s="75">
        <v>10</v>
      </c>
      <c r="W53" s="75"/>
      <c r="X53" s="73">
        <v>12</v>
      </c>
      <c r="Y53" s="71">
        <v>18</v>
      </c>
      <c r="Z53" s="71">
        <v>0</v>
      </c>
      <c r="AA53" s="71">
        <f t="shared" si="5"/>
        <v>30</v>
      </c>
      <c r="AB53" s="40">
        <f t="shared" si="3"/>
        <v>21</v>
      </c>
      <c r="AC53" s="76">
        <f>626.4/L53</f>
        <v>2.4857142857142858</v>
      </c>
      <c r="AD53" s="97">
        <v>46</v>
      </c>
      <c r="AE53" s="69">
        <v>43.8</v>
      </c>
      <c r="AF53" s="77">
        <v>6</v>
      </c>
      <c r="AG53" s="70">
        <v>6</v>
      </c>
      <c r="AH53" s="45"/>
      <c r="AI53" s="161" t="s">
        <v>129</v>
      </c>
    </row>
    <row r="54" spans="1:40" ht="21" customHeight="1" x14ac:dyDescent="0.3">
      <c r="A54" s="34">
        <v>52</v>
      </c>
      <c r="B54" s="65">
        <v>2002</v>
      </c>
      <c r="C54" s="65" t="s">
        <v>1</v>
      </c>
      <c r="D54" s="65" t="s">
        <v>2</v>
      </c>
      <c r="E54" s="65" t="s">
        <v>48</v>
      </c>
      <c r="F54" s="65">
        <v>2002</v>
      </c>
      <c r="G54" s="65" t="s">
        <v>1</v>
      </c>
      <c r="H54" s="65" t="s">
        <v>2</v>
      </c>
      <c r="I54" s="65" t="s">
        <v>113</v>
      </c>
      <c r="J54" s="64" t="s">
        <v>44</v>
      </c>
      <c r="K54" s="64">
        <f>31*5</f>
        <v>155</v>
      </c>
      <c r="L54" s="79">
        <f>29+23+30+23+56</f>
        <v>161</v>
      </c>
      <c r="M54" s="66">
        <v>20</v>
      </c>
      <c r="N54" s="64">
        <v>16</v>
      </c>
      <c r="O54" s="79">
        <f t="shared" si="4"/>
        <v>36</v>
      </c>
      <c r="P54" s="67">
        <v>0</v>
      </c>
      <c r="Q54" s="67">
        <v>0</v>
      </c>
      <c r="R54" s="67">
        <v>0</v>
      </c>
      <c r="S54" s="67">
        <v>0</v>
      </c>
      <c r="T54" s="67">
        <v>0</v>
      </c>
      <c r="U54" s="67">
        <v>0</v>
      </c>
      <c r="V54" s="67">
        <v>0</v>
      </c>
      <c r="W54" s="67"/>
      <c r="X54" s="66">
        <v>8</v>
      </c>
      <c r="Y54" s="64">
        <v>11</v>
      </c>
      <c r="Z54" s="64">
        <v>0</v>
      </c>
      <c r="AA54" s="64">
        <f t="shared" si="5"/>
        <v>19</v>
      </c>
      <c r="AB54" s="51">
        <f t="shared" si="3"/>
        <v>20.125</v>
      </c>
      <c r="AC54" s="81">
        <f>(118.8+118.8+153.3+153.3+153.3+153.3+153.3+153.3+432+432)/L54</f>
        <v>12.55527950310559</v>
      </c>
      <c r="AD54" s="97">
        <v>60</v>
      </c>
      <c r="AE54" s="69">
        <v>65.7</v>
      </c>
      <c r="AF54" s="77">
        <v>36</v>
      </c>
      <c r="AG54" s="70">
        <v>5</v>
      </c>
      <c r="AH54" s="45"/>
      <c r="AI54" s="37"/>
      <c r="AL54" s="105"/>
      <c r="AM54" s="105"/>
      <c r="AN54" s="105"/>
    </row>
    <row r="55" spans="1:40" ht="21" customHeight="1" x14ac:dyDescent="0.3">
      <c r="A55" s="34">
        <v>53</v>
      </c>
      <c r="B55" s="83">
        <v>2002</v>
      </c>
      <c r="C55" s="83" t="s">
        <v>27</v>
      </c>
      <c r="D55" s="65" t="s">
        <v>2</v>
      </c>
      <c r="E55" s="65" t="s">
        <v>3</v>
      </c>
      <c r="F55" s="83">
        <v>2002</v>
      </c>
      <c r="G55" s="83" t="s">
        <v>27</v>
      </c>
      <c r="H55" s="65" t="s">
        <v>2</v>
      </c>
      <c r="I55" s="65" t="s">
        <v>3</v>
      </c>
      <c r="J55" s="64" t="s">
        <v>0</v>
      </c>
      <c r="K55" s="64">
        <f>30*5</f>
        <v>150</v>
      </c>
      <c r="L55" s="79">
        <f>29+31+33+38+40</f>
        <v>171</v>
      </c>
      <c r="M55" s="66">
        <v>18</v>
      </c>
      <c r="N55" s="64">
        <v>18</v>
      </c>
      <c r="O55" s="79">
        <f t="shared" si="4"/>
        <v>36</v>
      </c>
      <c r="P55" s="67">
        <v>23</v>
      </c>
      <c r="Q55" s="67">
        <v>0</v>
      </c>
      <c r="R55" s="67">
        <v>0</v>
      </c>
      <c r="S55" s="67">
        <v>0</v>
      </c>
      <c r="T55" s="67">
        <v>0</v>
      </c>
      <c r="U55" s="67">
        <v>3</v>
      </c>
      <c r="V55" s="67">
        <v>10</v>
      </c>
      <c r="W55" s="67"/>
      <c r="X55" s="66">
        <v>7</v>
      </c>
      <c r="Y55" s="64">
        <v>29</v>
      </c>
      <c r="Z55" s="64">
        <v>0</v>
      </c>
      <c r="AA55" s="64">
        <f t="shared" si="5"/>
        <v>36</v>
      </c>
      <c r="AB55" s="84">
        <f t="shared" si="3"/>
        <v>24.428571428571427</v>
      </c>
      <c r="AC55" s="81">
        <f>1792.16/L55</f>
        <v>10.48046783625731</v>
      </c>
      <c r="AD55" s="97">
        <v>54</v>
      </c>
      <c r="AE55" s="69">
        <v>54.9</v>
      </c>
      <c r="AF55" s="77">
        <v>17</v>
      </c>
      <c r="AG55" s="70">
        <v>4</v>
      </c>
      <c r="AH55" s="45"/>
      <c r="AI55" s="37"/>
    </row>
    <row r="56" spans="1:40" ht="21" customHeight="1" x14ac:dyDescent="0.3">
      <c r="A56" s="34">
        <v>54</v>
      </c>
      <c r="B56" s="49">
        <v>2002</v>
      </c>
      <c r="C56" s="49" t="s">
        <v>34</v>
      </c>
      <c r="D56" s="49" t="s">
        <v>31</v>
      </c>
      <c r="E56" s="49" t="s">
        <v>3</v>
      </c>
      <c r="F56" s="49">
        <v>2002</v>
      </c>
      <c r="G56" s="49" t="s">
        <v>34</v>
      </c>
      <c r="H56" s="49" t="s">
        <v>31</v>
      </c>
      <c r="I56" s="49" t="s">
        <v>3</v>
      </c>
      <c r="J56" s="55" t="s">
        <v>26</v>
      </c>
      <c r="K56" s="55">
        <v>17</v>
      </c>
      <c r="L56" s="46">
        <f>20+42+28+24+30</f>
        <v>144</v>
      </c>
      <c r="M56" s="48">
        <v>10</v>
      </c>
      <c r="N56" s="55">
        <v>10</v>
      </c>
      <c r="O56" s="46">
        <f t="shared" si="4"/>
        <v>20</v>
      </c>
      <c r="P56" s="50">
        <v>16</v>
      </c>
      <c r="Q56" s="67">
        <v>0</v>
      </c>
      <c r="R56" s="67">
        <v>0</v>
      </c>
      <c r="S56" s="67">
        <v>0</v>
      </c>
      <c r="T56" s="67">
        <v>0</v>
      </c>
      <c r="U56" s="50">
        <v>1</v>
      </c>
      <c r="V56" s="50">
        <v>3</v>
      </c>
      <c r="W56" s="50"/>
      <c r="X56" s="48">
        <v>5</v>
      </c>
      <c r="Y56" s="55">
        <v>12</v>
      </c>
      <c r="Z56" s="55">
        <v>0</v>
      </c>
      <c r="AA56" s="55">
        <f t="shared" si="5"/>
        <v>17</v>
      </c>
      <c r="AB56" s="51">
        <f t="shared" si="3"/>
        <v>28.8</v>
      </c>
      <c r="AC56" s="52">
        <f>(118.74+118.74+116.64+116.64+125.28+125.28+93.96+93.96+58.32+83.16)/L56</f>
        <v>7.2966666666666669</v>
      </c>
      <c r="AD56" s="42">
        <v>56</v>
      </c>
      <c r="AE56" s="51">
        <v>71.099999999999994</v>
      </c>
      <c r="AF56" s="47"/>
      <c r="AG56" s="45"/>
      <c r="AH56" s="45"/>
      <c r="AI56" s="117" t="s">
        <v>130</v>
      </c>
    </row>
    <row r="57" spans="1:40" ht="21" customHeight="1" x14ac:dyDescent="0.3">
      <c r="A57" s="34">
        <v>55</v>
      </c>
      <c r="B57" s="36">
        <v>2003</v>
      </c>
      <c r="C57" s="36" t="s">
        <v>1</v>
      </c>
      <c r="D57" s="36" t="s">
        <v>62</v>
      </c>
      <c r="E57" s="36" t="s">
        <v>3</v>
      </c>
      <c r="F57" s="36">
        <v>2003</v>
      </c>
      <c r="G57" s="36" t="s">
        <v>1</v>
      </c>
      <c r="H57" s="36" t="s">
        <v>62</v>
      </c>
      <c r="I57" s="36" t="s">
        <v>3</v>
      </c>
      <c r="J57" s="35" t="s">
        <v>26</v>
      </c>
      <c r="K57" s="35">
        <v>79</v>
      </c>
      <c r="L57" s="38">
        <f>71+23+33+37+30</f>
        <v>194</v>
      </c>
      <c r="M57" s="37">
        <v>14</v>
      </c>
      <c r="N57" s="35">
        <v>12</v>
      </c>
      <c r="O57" s="46">
        <f>SUM(M57:N57)</f>
        <v>26</v>
      </c>
      <c r="P57" s="39">
        <v>23</v>
      </c>
      <c r="Q57" s="67">
        <v>0</v>
      </c>
      <c r="R57" s="67">
        <v>0</v>
      </c>
      <c r="S57" s="39">
        <v>1</v>
      </c>
      <c r="T57" s="67">
        <v>0</v>
      </c>
      <c r="U57" s="67">
        <v>0</v>
      </c>
      <c r="V57" s="39">
        <v>2</v>
      </c>
      <c r="W57" s="39"/>
      <c r="X57" s="37">
        <v>6</v>
      </c>
      <c r="Y57" s="35">
        <v>17</v>
      </c>
      <c r="Z57" s="35">
        <v>0</v>
      </c>
      <c r="AA57" s="35">
        <f t="shared" si="5"/>
        <v>23</v>
      </c>
      <c r="AB57" s="40">
        <f t="shared" si="3"/>
        <v>32.333333333333336</v>
      </c>
      <c r="AC57" s="41">
        <f>1705/L57</f>
        <v>8.7886597938144337</v>
      </c>
      <c r="AD57" s="42">
        <v>54</v>
      </c>
      <c r="AE57" s="40">
        <v>56.04</v>
      </c>
      <c r="AF57" s="43">
        <v>25</v>
      </c>
      <c r="AG57" s="44">
        <v>4</v>
      </c>
      <c r="AH57" s="45"/>
      <c r="AI57" s="108"/>
    </row>
    <row r="58" spans="1:40" ht="21" customHeight="1" x14ac:dyDescent="0.3">
      <c r="A58" s="34">
        <v>56</v>
      </c>
      <c r="B58" s="36">
        <v>2002</v>
      </c>
      <c r="C58" s="36" t="s">
        <v>34</v>
      </c>
      <c r="D58" s="36" t="s">
        <v>64</v>
      </c>
      <c r="E58" s="36" t="s">
        <v>65</v>
      </c>
      <c r="F58" s="36">
        <v>2002</v>
      </c>
      <c r="G58" s="36" t="s">
        <v>63</v>
      </c>
      <c r="H58" s="36" t="s">
        <v>64</v>
      </c>
      <c r="I58" s="36" t="s">
        <v>65</v>
      </c>
      <c r="J58" s="35" t="s">
        <v>66</v>
      </c>
      <c r="K58" s="35">
        <f>20*5</f>
        <v>100</v>
      </c>
      <c r="L58" s="38">
        <f>21+21+19+13+25</f>
        <v>99</v>
      </c>
      <c r="M58" s="37">
        <v>0</v>
      </c>
      <c r="N58" s="35">
        <v>6</v>
      </c>
      <c r="O58" s="38">
        <f t="shared" ref="O58:O65" si="6">SUM(M58:N58)</f>
        <v>6</v>
      </c>
      <c r="P58" s="39">
        <v>3</v>
      </c>
      <c r="Q58" s="67">
        <v>0</v>
      </c>
      <c r="R58" s="67">
        <v>0</v>
      </c>
      <c r="S58" s="67">
        <v>0</v>
      </c>
      <c r="T58" s="67">
        <v>0</v>
      </c>
      <c r="U58" s="39">
        <v>1</v>
      </c>
      <c r="V58" s="39">
        <v>2</v>
      </c>
      <c r="W58" s="39"/>
      <c r="X58" s="37">
        <v>8</v>
      </c>
      <c r="Y58" s="35">
        <v>20</v>
      </c>
      <c r="Z58" s="35">
        <v>0</v>
      </c>
      <c r="AA58" s="35">
        <f t="shared" si="5"/>
        <v>28</v>
      </c>
      <c r="AB58" s="40">
        <f t="shared" si="3"/>
        <v>12.375</v>
      </c>
      <c r="AC58" s="41"/>
      <c r="AD58" s="42">
        <v>56</v>
      </c>
      <c r="AE58" s="40"/>
      <c r="AF58" s="43"/>
      <c r="AG58" s="44"/>
      <c r="AH58" s="45"/>
      <c r="AI58" s="37"/>
    </row>
    <row r="59" spans="1:40" ht="21" customHeight="1" x14ac:dyDescent="0.3">
      <c r="A59" s="34">
        <v>57</v>
      </c>
      <c r="B59" s="36">
        <v>2003</v>
      </c>
      <c r="C59" s="36" t="s">
        <v>30</v>
      </c>
      <c r="D59" s="36" t="s">
        <v>31</v>
      </c>
      <c r="E59" s="36" t="s">
        <v>48</v>
      </c>
      <c r="F59" s="36">
        <v>2003</v>
      </c>
      <c r="G59" s="36" t="s">
        <v>30</v>
      </c>
      <c r="H59" s="36" t="s">
        <v>31</v>
      </c>
      <c r="I59" s="36" t="s">
        <v>67</v>
      </c>
      <c r="J59" s="35" t="s">
        <v>66</v>
      </c>
      <c r="K59" s="35">
        <f>33*5</f>
        <v>165</v>
      </c>
      <c r="L59" s="38">
        <f>33+38+25+32+32</f>
        <v>160</v>
      </c>
      <c r="M59" s="37">
        <v>9</v>
      </c>
      <c r="N59" s="35">
        <v>12</v>
      </c>
      <c r="O59" s="38">
        <f t="shared" si="6"/>
        <v>21</v>
      </c>
      <c r="P59" s="39">
        <v>12</v>
      </c>
      <c r="Q59" s="39">
        <v>0</v>
      </c>
      <c r="R59" s="39">
        <v>0</v>
      </c>
      <c r="S59" s="39">
        <v>0</v>
      </c>
      <c r="T59" s="39">
        <v>0</v>
      </c>
      <c r="U59" s="39">
        <v>1</v>
      </c>
      <c r="V59" s="39">
        <v>0</v>
      </c>
      <c r="W59" s="39"/>
      <c r="X59" s="37">
        <v>7</v>
      </c>
      <c r="Y59" s="35">
        <v>11</v>
      </c>
      <c r="Z59" s="35">
        <v>0</v>
      </c>
      <c r="AA59" s="35">
        <f t="shared" si="5"/>
        <v>18</v>
      </c>
      <c r="AB59" s="40">
        <f t="shared" si="3"/>
        <v>22.857142857142858</v>
      </c>
      <c r="AC59" s="41">
        <f>1618/L59</f>
        <v>10.112500000000001</v>
      </c>
      <c r="AD59" s="35">
        <v>48</v>
      </c>
      <c r="AE59" s="40">
        <v>49.8</v>
      </c>
      <c r="AF59" s="43">
        <v>3</v>
      </c>
      <c r="AG59" s="44">
        <v>3</v>
      </c>
      <c r="AH59" s="45"/>
      <c r="AI59" s="37"/>
    </row>
    <row r="60" spans="1:40" ht="21" customHeight="1" x14ac:dyDescent="0.3">
      <c r="A60" s="57">
        <v>58</v>
      </c>
      <c r="B60" s="49">
        <v>2003</v>
      </c>
      <c r="C60" s="49" t="s">
        <v>1</v>
      </c>
      <c r="D60" s="49" t="s">
        <v>43</v>
      </c>
      <c r="E60" s="49" t="s">
        <v>48</v>
      </c>
      <c r="F60" s="49">
        <v>2003</v>
      </c>
      <c r="G60" s="49" t="s">
        <v>1</v>
      </c>
      <c r="H60" s="49" t="s">
        <v>43</v>
      </c>
      <c r="I60" s="49" t="s">
        <v>71</v>
      </c>
      <c r="J60" s="42" t="s">
        <v>44</v>
      </c>
      <c r="K60" s="42">
        <f>24*5</f>
        <v>120</v>
      </c>
      <c r="L60" s="46">
        <f>25+28+35+30+41</f>
        <v>159</v>
      </c>
      <c r="M60" s="48">
        <v>9</v>
      </c>
      <c r="N60" s="42">
        <v>17</v>
      </c>
      <c r="O60" s="46">
        <f t="shared" si="6"/>
        <v>26</v>
      </c>
      <c r="P60" s="50">
        <v>20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7</v>
      </c>
      <c r="W60" s="50"/>
      <c r="X60" s="48">
        <v>6</v>
      </c>
      <c r="Y60" s="42">
        <v>23</v>
      </c>
      <c r="Z60" s="42">
        <v>0</v>
      </c>
      <c r="AA60" s="42">
        <f t="shared" si="5"/>
        <v>29</v>
      </c>
      <c r="AB60" s="51">
        <f t="shared" si="3"/>
        <v>26.5</v>
      </c>
      <c r="AC60" s="52">
        <f>(129.6+129.6+280.8+280.8+280.8+280.8+280.8+280.8+108+108)/L60</f>
        <v>13.584905660377359</v>
      </c>
      <c r="AD60" s="35">
        <v>48</v>
      </c>
      <c r="AE60" s="51">
        <v>57.5</v>
      </c>
      <c r="AF60" s="47">
        <v>21</v>
      </c>
      <c r="AG60" s="45"/>
      <c r="AH60" s="45"/>
      <c r="AI60" s="48"/>
    </row>
    <row r="61" spans="1:40" ht="21" customHeight="1" x14ac:dyDescent="0.3">
      <c r="A61" s="34">
        <v>59</v>
      </c>
      <c r="B61" s="36">
        <v>2002</v>
      </c>
      <c r="C61" s="36" t="s">
        <v>4</v>
      </c>
      <c r="D61" s="36" t="s">
        <v>31</v>
      </c>
      <c r="E61" s="36" t="s">
        <v>48</v>
      </c>
      <c r="F61" s="36">
        <v>2002</v>
      </c>
      <c r="G61" s="36" t="s">
        <v>4</v>
      </c>
      <c r="H61" s="36" t="s">
        <v>109</v>
      </c>
      <c r="I61" s="36" t="s">
        <v>67</v>
      </c>
      <c r="J61" s="35" t="s">
        <v>26</v>
      </c>
      <c r="K61" s="35">
        <v>43</v>
      </c>
      <c r="L61" s="38">
        <f>58+52+50+62+68</f>
        <v>290</v>
      </c>
      <c r="M61" s="37">
        <v>6</v>
      </c>
      <c r="N61" s="35">
        <v>4</v>
      </c>
      <c r="O61" s="38">
        <f t="shared" si="6"/>
        <v>10</v>
      </c>
      <c r="P61" s="39"/>
      <c r="Q61" s="39"/>
      <c r="R61" s="39"/>
      <c r="S61" s="39"/>
      <c r="T61" s="39"/>
      <c r="U61" s="39"/>
      <c r="V61" s="39"/>
      <c r="W61" s="39"/>
      <c r="X61" s="37">
        <v>11</v>
      </c>
      <c r="Y61" s="35">
        <v>48</v>
      </c>
      <c r="Z61" s="35">
        <v>0</v>
      </c>
      <c r="AA61" s="35">
        <f t="shared" si="5"/>
        <v>59</v>
      </c>
      <c r="AB61" s="40">
        <f t="shared" si="3"/>
        <v>26.363636363636363</v>
      </c>
      <c r="AC61" s="41"/>
      <c r="AD61" s="42">
        <v>54</v>
      </c>
      <c r="AE61" s="40">
        <f>1.91+2.23+5+5+4.41+4.61+4.68+4.41+4.72+5.21</f>
        <v>42.18</v>
      </c>
      <c r="AF61" s="43">
        <v>37</v>
      </c>
      <c r="AG61" s="44">
        <v>2</v>
      </c>
      <c r="AH61" s="45"/>
      <c r="AI61" s="117" t="s">
        <v>121</v>
      </c>
    </row>
    <row r="62" spans="1:40" ht="21" customHeight="1" x14ac:dyDescent="0.3">
      <c r="A62" s="34">
        <v>60</v>
      </c>
      <c r="B62" s="36">
        <v>2002</v>
      </c>
      <c r="C62" s="36" t="s">
        <v>4</v>
      </c>
      <c r="D62" s="36" t="s">
        <v>2</v>
      </c>
      <c r="E62" s="36" t="s">
        <v>3</v>
      </c>
      <c r="F62" s="36">
        <v>2002</v>
      </c>
      <c r="G62" s="36" t="s">
        <v>4</v>
      </c>
      <c r="H62" s="36" t="s">
        <v>2</v>
      </c>
      <c r="I62" s="36" t="s">
        <v>3</v>
      </c>
      <c r="J62" s="35" t="s">
        <v>26</v>
      </c>
      <c r="K62" s="102"/>
      <c r="L62" s="110"/>
      <c r="M62" s="107"/>
      <c r="N62" s="102"/>
      <c r="O62" s="110">
        <f t="shared" si="6"/>
        <v>0</v>
      </c>
      <c r="P62" s="39"/>
      <c r="Q62" s="39"/>
      <c r="R62" s="39"/>
      <c r="S62" s="39"/>
      <c r="T62" s="39"/>
      <c r="U62" s="39"/>
      <c r="V62" s="39"/>
      <c r="W62" s="39"/>
      <c r="X62" s="37"/>
      <c r="Y62" s="35"/>
      <c r="Z62" s="35"/>
      <c r="AA62" s="35">
        <f t="shared" si="5"/>
        <v>0</v>
      </c>
      <c r="AB62" s="40" t="e">
        <f t="shared" si="3"/>
        <v>#DIV/0!</v>
      </c>
      <c r="AC62" s="41"/>
      <c r="AD62" s="42"/>
      <c r="AE62" s="40"/>
      <c r="AF62" s="43"/>
      <c r="AG62" s="44"/>
      <c r="AH62" s="45"/>
      <c r="AI62" s="119" t="s">
        <v>131</v>
      </c>
      <c r="AJ62" s="121"/>
    </row>
    <row r="63" spans="1:40" ht="21" customHeight="1" x14ac:dyDescent="0.3">
      <c r="A63" s="34">
        <v>61</v>
      </c>
      <c r="B63" s="85">
        <v>2002</v>
      </c>
      <c r="C63" s="72" t="s">
        <v>4</v>
      </c>
      <c r="D63" s="72" t="s">
        <v>2</v>
      </c>
      <c r="E63" s="72" t="s">
        <v>48</v>
      </c>
      <c r="F63" s="85">
        <v>2002</v>
      </c>
      <c r="G63" s="72" t="s">
        <v>4</v>
      </c>
      <c r="H63" s="72" t="s">
        <v>2</v>
      </c>
      <c r="I63" s="72" t="s">
        <v>68</v>
      </c>
      <c r="J63" s="71" t="s">
        <v>44</v>
      </c>
      <c r="K63" s="71">
        <f>38*5</f>
        <v>190</v>
      </c>
      <c r="L63" s="74">
        <f>42+42+37+34+44</f>
        <v>199</v>
      </c>
      <c r="M63" s="73">
        <v>18</v>
      </c>
      <c r="N63" s="71">
        <v>18</v>
      </c>
      <c r="O63" s="74">
        <f t="shared" si="6"/>
        <v>36</v>
      </c>
      <c r="P63" s="75"/>
      <c r="Q63" s="75"/>
      <c r="R63" s="75"/>
      <c r="S63" s="75"/>
      <c r="T63" s="75"/>
      <c r="U63" s="75"/>
      <c r="V63" s="75"/>
      <c r="W63" s="75"/>
      <c r="X63" s="73">
        <v>6</v>
      </c>
      <c r="Y63" s="71">
        <v>23</v>
      </c>
      <c r="Z63" s="71">
        <v>0</v>
      </c>
      <c r="AA63" s="71">
        <f t="shared" si="5"/>
        <v>29</v>
      </c>
      <c r="AB63" s="69">
        <f t="shared" si="3"/>
        <v>33.166666666666664</v>
      </c>
      <c r="AC63" s="76">
        <f xml:space="preserve"> 1936.48/L63</f>
        <v>9.7310552763819089</v>
      </c>
      <c r="AD63" s="97">
        <v>52</v>
      </c>
      <c r="AE63" s="69">
        <f>4.17+5.55+4+3.82+5.54+4.62+6.45+8+4.62+4.51</f>
        <v>51.279999999999994</v>
      </c>
      <c r="AF63" s="77">
        <v>32</v>
      </c>
      <c r="AG63" s="70">
        <v>7</v>
      </c>
      <c r="AH63" s="45"/>
      <c r="AI63" s="117" t="s">
        <v>121</v>
      </c>
    </row>
    <row r="64" spans="1:40" ht="21" customHeight="1" x14ac:dyDescent="0.3">
      <c r="A64" s="34">
        <v>62</v>
      </c>
      <c r="B64" s="85">
        <v>2002</v>
      </c>
      <c r="C64" s="72" t="s">
        <v>4</v>
      </c>
      <c r="D64" s="72" t="s">
        <v>69</v>
      </c>
      <c r="E64" s="72" t="s">
        <v>70</v>
      </c>
      <c r="F64" s="85">
        <v>2002</v>
      </c>
      <c r="G64" s="72" t="s">
        <v>4</v>
      </c>
      <c r="H64" s="72" t="s">
        <v>69</v>
      </c>
      <c r="I64" s="72" t="s">
        <v>70</v>
      </c>
      <c r="J64" s="71" t="s">
        <v>26</v>
      </c>
      <c r="K64" s="71">
        <f>46+46+46</f>
        <v>138</v>
      </c>
      <c r="L64" s="74">
        <f>54+61+83+105+89</f>
        <v>392</v>
      </c>
      <c r="M64" s="73">
        <v>20</v>
      </c>
      <c r="N64" s="71">
        <f>33+9</f>
        <v>42</v>
      </c>
      <c r="O64" s="74">
        <f t="shared" si="6"/>
        <v>62</v>
      </c>
      <c r="P64" s="75">
        <v>11</v>
      </c>
      <c r="Q64" s="75">
        <v>3</v>
      </c>
      <c r="R64" s="75">
        <v>0</v>
      </c>
      <c r="S64" s="75">
        <v>1</v>
      </c>
      <c r="T64" s="75">
        <v>2</v>
      </c>
      <c r="U64" s="75">
        <v>1</v>
      </c>
      <c r="V64" s="75">
        <v>34</v>
      </c>
      <c r="W64" s="75"/>
      <c r="X64" s="73">
        <v>28</v>
      </c>
      <c r="Y64" s="71">
        <v>60</v>
      </c>
      <c r="Z64" s="71">
        <v>0</v>
      </c>
      <c r="AA64" s="71">
        <f t="shared" si="5"/>
        <v>88</v>
      </c>
      <c r="AB64" s="69">
        <f t="shared" si="3"/>
        <v>14</v>
      </c>
      <c r="AC64" s="76">
        <f>2056.6/L64</f>
        <v>5.246428571428571</v>
      </c>
      <c r="AD64" s="97">
        <v>57</v>
      </c>
      <c r="AE64" s="69">
        <v>48</v>
      </c>
      <c r="AF64" s="77"/>
      <c r="AG64" s="70"/>
      <c r="AH64" s="45"/>
      <c r="AI64" s="120" t="s">
        <v>132</v>
      </c>
    </row>
    <row r="65" spans="1:35" ht="21" customHeight="1" x14ac:dyDescent="0.3">
      <c r="A65" s="34">
        <v>63</v>
      </c>
      <c r="B65" s="98">
        <v>2005</v>
      </c>
      <c r="C65" s="49" t="s">
        <v>30</v>
      </c>
      <c r="D65" s="49" t="s">
        <v>32</v>
      </c>
      <c r="E65" s="49" t="s">
        <v>33</v>
      </c>
      <c r="F65" s="98">
        <v>2005</v>
      </c>
      <c r="G65" s="49" t="s">
        <v>30</v>
      </c>
      <c r="H65" s="49" t="s">
        <v>32</v>
      </c>
      <c r="I65" s="49" t="s">
        <v>33</v>
      </c>
      <c r="J65" s="42" t="s">
        <v>26</v>
      </c>
      <c r="K65" s="42">
        <v>60</v>
      </c>
      <c r="L65" s="46">
        <f>55+34+46+65+54</f>
        <v>254</v>
      </c>
      <c r="M65" s="48">
        <v>27</v>
      </c>
      <c r="N65" s="42">
        <v>16</v>
      </c>
      <c r="O65" s="74">
        <f t="shared" si="6"/>
        <v>43</v>
      </c>
      <c r="P65" s="50">
        <v>30</v>
      </c>
      <c r="Q65" s="50">
        <v>1</v>
      </c>
      <c r="R65" s="50">
        <v>0</v>
      </c>
      <c r="S65" s="50">
        <v>1</v>
      </c>
      <c r="T65" s="50">
        <v>1</v>
      </c>
      <c r="U65" s="50">
        <v>1</v>
      </c>
      <c r="V65" s="50">
        <v>9</v>
      </c>
      <c r="W65" s="50"/>
      <c r="X65" s="48">
        <v>18</v>
      </c>
      <c r="Y65" s="42">
        <v>18</v>
      </c>
      <c r="Z65" s="42">
        <v>0</v>
      </c>
      <c r="AA65" s="42">
        <f t="shared" si="5"/>
        <v>36</v>
      </c>
      <c r="AB65" s="51">
        <f t="shared" si="3"/>
        <v>14.111111111111111</v>
      </c>
      <c r="AC65" s="52">
        <f>2875.6/L66</f>
        <v>14.746666666666666</v>
      </c>
      <c r="AD65" s="42">
        <v>48.1</v>
      </c>
      <c r="AE65" s="58"/>
      <c r="AF65" s="47">
        <v>37</v>
      </c>
      <c r="AG65" s="45">
        <v>11</v>
      </c>
      <c r="AH65" s="45"/>
      <c r="AI65" s="48"/>
    </row>
    <row r="66" spans="1:35" ht="21" customHeight="1" x14ac:dyDescent="0.3">
      <c r="A66" s="57">
        <v>64</v>
      </c>
      <c r="B66" s="98">
        <v>2003</v>
      </c>
      <c r="C66" s="49" t="s">
        <v>30</v>
      </c>
      <c r="D66" s="49" t="s">
        <v>115</v>
      </c>
      <c r="E66" s="49" t="s">
        <v>48</v>
      </c>
      <c r="F66" s="98">
        <v>2003</v>
      </c>
      <c r="G66" s="49" t="s">
        <v>110</v>
      </c>
      <c r="H66" s="49" t="s">
        <v>115</v>
      </c>
      <c r="I66" s="49" t="s">
        <v>114</v>
      </c>
      <c r="J66" s="42" t="s">
        <v>116</v>
      </c>
      <c r="K66" s="42">
        <f>35+30+40+42+42</f>
        <v>189</v>
      </c>
      <c r="L66" s="46">
        <f>35+36+49+43+32</f>
        <v>195</v>
      </c>
      <c r="M66" s="48">
        <v>17</v>
      </c>
      <c r="N66" s="42">
        <v>8</v>
      </c>
      <c r="O66" s="46">
        <f t="shared" ref="O66:O74" si="7">SUM(M66:N66)</f>
        <v>25</v>
      </c>
      <c r="P66" s="50">
        <v>23</v>
      </c>
      <c r="Q66" s="50">
        <v>1</v>
      </c>
      <c r="R66" s="50">
        <v>0</v>
      </c>
      <c r="S66" s="50">
        <v>0</v>
      </c>
      <c r="T66" s="50">
        <v>1</v>
      </c>
      <c r="U66" s="50">
        <v>0</v>
      </c>
      <c r="V66" s="50">
        <v>0</v>
      </c>
      <c r="W66" s="50"/>
      <c r="X66" s="48">
        <v>13</v>
      </c>
      <c r="Y66" s="42">
        <v>12</v>
      </c>
      <c r="Z66" s="42">
        <v>0</v>
      </c>
      <c r="AA66" s="42">
        <f t="shared" ref="AA66:AA74" si="8">SUM(X66:Z66)</f>
        <v>25</v>
      </c>
      <c r="AB66" s="51">
        <f t="shared" si="3"/>
        <v>15</v>
      </c>
      <c r="AC66" s="52">
        <f>1214/L66</f>
        <v>6.2256410256410257</v>
      </c>
      <c r="AD66" s="42">
        <v>63</v>
      </c>
      <c r="AE66" s="58">
        <f>487.8/10</f>
        <v>48.78</v>
      </c>
      <c r="AF66" s="47">
        <v>5</v>
      </c>
      <c r="AG66" s="45">
        <v>3</v>
      </c>
      <c r="AH66" s="45"/>
      <c r="AI66" s="48"/>
    </row>
    <row r="67" spans="1:35" ht="21" customHeight="1" x14ac:dyDescent="0.3">
      <c r="A67" s="57">
        <v>65</v>
      </c>
      <c r="B67" s="98"/>
      <c r="C67" s="49" t="s">
        <v>30</v>
      </c>
      <c r="D67" s="49" t="s">
        <v>45</v>
      </c>
      <c r="E67" s="49" t="s">
        <v>45</v>
      </c>
      <c r="F67" s="98"/>
      <c r="G67" s="49" t="s">
        <v>30</v>
      </c>
      <c r="H67" s="49" t="s">
        <v>45</v>
      </c>
      <c r="I67" s="49" t="s">
        <v>45</v>
      </c>
      <c r="J67" s="42" t="s">
        <v>45</v>
      </c>
      <c r="K67" s="42"/>
      <c r="L67" s="46">
        <f>14+13+18</f>
        <v>45</v>
      </c>
      <c r="M67" s="48">
        <v>5</v>
      </c>
      <c r="N67" s="42">
        <v>2</v>
      </c>
      <c r="O67" s="46">
        <f t="shared" si="7"/>
        <v>7</v>
      </c>
      <c r="P67" s="50">
        <v>5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2</v>
      </c>
      <c r="W67" s="50"/>
      <c r="X67" s="73">
        <v>11</v>
      </c>
      <c r="Y67" s="71">
        <v>19</v>
      </c>
      <c r="Z67" s="71">
        <v>0</v>
      </c>
      <c r="AA67" s="42">
        <f t="shared" si="8"/>
        <v>30</v>
      </c>
      <c r="AB67" s="51">
        <f t="shared" si="3"/>
        <v>4.0909090909090908</v>
      </c>
      <c r="AC67" s="52">
        <f>(75.37+31.65+75.37+75.37)/L67</f>
        <v>5.7279999999999998</v>
      </c>
      <c r="AD67" s="42">
        <v>22</v>
      </c>
      <c r="AE67" s="58">
        <v>72</v>
      </c>
      <c r="AF67" s="47"/>
      <c r="AG67" s="45"/>
      <c r="AH67" s="45"/>
      <c r="AI67" s="118" t="s">
        <v>128</v>
      </c>
    </row>
    <row r="68" spans="1:35" ht="21" customHeight="1" x14ac:dyDescent="0.3">
      <c r="A68" s="57">
        <v>66</v>
      </c>
      <c r="B68" s="98">
        <v>2002</v>
      </c>
      <c r="C68" s="49" t="s">
        <v>30</v>
      </c>
      <c r="D68" s="49" t="s">
        <v>31</v>
      </c>
      <c r="E68" s="49" t="s">
        <v>33</v>
      </c>
      <c r="F68" s="98">
        <v>2002</v>
      </c>
      <c r="G68" s="49" t="s">
        <v>30</v>
      </c>
      <c r="H68" s="49" t="s">
        <v>31</v>
      </c>
      <c r="I68" s="49" t="s">
        <v>33</v>
      </c>
      <c r="J68" s="42" t="s">
        <v>26</v>
      </c>
      <c r="K68" s="42">
        <f>80+73+40</f>
        <v>193</v>
      </c>
      <c r="L68" s="46">
        <f>82+16+40+30+37</f>
        <v>205</v>
      </c>
      <c r="M68" s="48">
        <v>17</v>
      </c>
      <c r="N68" s="42">
        <v>7</v>
      </c>
      <c r="O68" s="46">
        <f t="shared" si="7"/>
        <v>24</v>
      </c>
      <c r="P68" s="50">
        <v>18</v>
      </c>
      <c r="Q68" s="50">
        <v>0</v>
      </c>
      <c r="R68" s="50">
        <v>1</v>
      </c>
      <c r="S68" s="50">
        <v>0</v>
      </c>
      <c r="T68" s="50">
        <v>0</v>
      </c>
      <c r="U68" s="50">
        <v>0</v>
      </c>
      <c r="V68" s="50">
        <v>5</v>
      </c>
      <c r="W68" s="50"/>
      <c r="X68" s="48">
        <v>10</v>
      </c>
      <c r="Y68" s="42">
        <v>27</v>
      </c>
      <c r="Z68" s="42">
        <v>0</v>
      </c>
      <c r="AA68" s="42">
        <f t="shared" si="8"/>
        <v>37</v>
      </c>
      <c r="AB68" s="51">
        <f t="shared" si="3"/>
        <v>20.5</v>
      </c>
      <c r="AC68" s="52">
        <f>1840.4/L68</f>
        <v>8.977560975609757</v>
      </c>
      <c r="AD68" s="42">
        <v>54</v>
      </c>
      <c r="AE68" s="58">
        <v>37.299999999999997</v>
      </c>
      <c r="AF68" s="47">
        <v>5</v>
      </c>
      <c r="AG68" s="45">
        <v>5</v>
      </c>
      <c r="AH68" s="45"/>
      <c r="AI68" s="48"/>
    </row>
    <row r="69" spans="1:35" ht="21" customHeight="1" x14ac:dyDescent="0.3">
      <c r="A69" s="57">
        <v>67</v>
      </c>
      <c r="B69" s="57">
        <v>2003</v>
      </c>
      <c r="C69" s="57" t="s">
        <v>138</v>
      </c>
      <c r="D69" s="49" t="s">
        <v>31</v>
      </c>
      <c r="E69" s="57" t="s">
        <v>137</v>
      </c>
      <c r="F69" s="98"/>
      <c r="G69" s="49" t="s">
        <v>30</v>
      </c>
      <c r="H69" s="49"/>
      <c r="I69" s="49"/>
      <c r="J69" s="42"/>
      <c r="K69" s="35">
        <v>90</v>
      </c>
      <c r="L69" s="38">
        <f>50+29+22+26+40</f>
        <v>167</v>
      </c>
      <c r="M69" s="37">
        <v>16</v>
      </c>
      <c r="N69" s="35">
        <v>17</v>
      </c>
      <c r="O69" s="38">
        <v>33</v>
      </c>
      <c r="P69" s="39">
        <v>14</v>
      </c>
      <c r="Q69" s="39">
        <v>9</v>
      </c>
      <c r="R69" s="39">
        <v>0</v>
      </c>
      <c r="S69" s="39">
        <v>0</v>
      </c>
      <c r="T69" s="39">
        <v>0</v>
      </c>
      <c r="U69" s="39">
        <v>1</v>
      </c>
      <c r="V69" s="39">
        <v>9</v>
      </c>
      <c r="W69" s="39"/>
      <c r="X69" s="37">
        <v>10</v>
      </c>
      <c r="Y69" s="35">
        <v>12</v>
      </c>
      <c r="Z69" s="35">
        <v>0</v>
      </c>
      <c r="AA69" s="35">
        <f>SUM(X69:Z69)</f>
        <v>22</v>
      </c>
      <c r="AB69" s="51">
        <f t="shared" si="3"/>
        <v>16.7</v>
      </c>
      <c r="AC69" s="41">
        <f>1630.32/167</f>
        <v>9.7623952095808377</v>
      </c>
      <c r="AD69" s="42">
        <v>54</v>
      </c>
      <c r="AE69" s="40">
        <v>54.49</v>
      </c>
      <c r="AF69" s="47">
        <v>17</v>
      </c>
      <c r="AG69" s="45">
        <v>1</v>
      </c>
      <c r="AH69" s="45"/>
      <c r="AI69" s="48"/>
    </row>
    <row r="70" spans="1:35" ht="21" customHeight="1" x14ac:dyDescent="0.3">
      <c r="A70" s="57">
        <v>68</v>
      </c>
      <c r="B70" s="57">
        <v>2011</v>
      </c>
      <c r="C70" s="57" t="s">
        <v>138</v>
      </c>
      <c r="D70" s="49" t="s">
        <v>31</v>
      </c>
      <c r="E70" s="57" t="s">
        <v>139</v>
      </c>
      <c r="F70" s="98"/>
      <c r="G70" s="49"/>
      <c r="H70" s="49"/>
      <c r="I70" s="49"/>
      <c r="J70" s="42"/>
      <c r="K70" s="42">
        <v>35</v>
      </c>
      <c r="L70" s="46">
        <f>38+30+37+24+39</f>
        <v>168</v>
      </c>
      <c r="M70" s="48">
        <v>9</v>
      </c>
      <c r="N70" s="42">
        <v>18</v>
      </c>
      <c r="O70" s="46">
        <f t="shared" si="7"/>
        <v>27</v>
      </c>
      <c r="P70" s="50">
        <v>11</v>
      </c>
      <c r="Q70" s="50">
        <v>0</v>
      </c>
      <c r="R70" s="50">
        <v>0</v>
      </c>
      <c r="S70" s="50">
        <v>0</v>
      </c>
      <c r="T70" s="50">
        <v>0</v>
      </c>
      <c r="U70" s="50">
        <v>0</v>
      </c>
      <c r="V70" s="50">
        <v>0</v>
      </c>
      <c r="W70" s="50">
        <v>16</v>
      </c>
      <c r="X70" s="48">
        <v>4</v>
      </c>
      <c r="Y70" s="42">
        <v>13</v>
      </c>
      <c r="Z70" s="42">
        <v>0</v>
      </c>
      <c r="AA70" s="42">
        <f t="shared" si="8"/>
        <v>17</v>
      </c>
      <c r="AB70" s="51">
        <f t="shared" si="3"/>
        <v>42</v>
      </c>
      <c r="AC70" s="52">
        <f>128*6/168+192*2/168+97.2/168</f>
        <v>7.4357142857142851</v>
      </c>
      <c r="AD70" s="42">
        <v>57</v>
      </c>
      <c r="AE70" s="58">
        <f>34.3/9+60/9+49.7/9+56.7/9+62.6/9+60/9+42.4/9+45/9</f>
        <v>45.633333333333333</v>
      </c>
      <c r="AF70" s="47">
        <v>8</v>
      </c>
      <c r="AG70" s="45">
        <v>3</v>
      </c>
      <c r="AH70" s="45"/>
      <c r="AI70" s="48"/>
    </row>
    <row r="71" spans="1:35" ht="21" customHeight="1" x14ac:dyDescent="0.3">
      <c r="A71" s="57">
        <v>69</v>
      </c>
      <c r="B71" s="57">
        <v>2002</v>
      </c>
      <c r="C71" s="57" t="s">
        <v>34</v>
      </c>
      <c r="D71" s="49" t="s">
        <v>31</v>
      </c>
      <c r="E71" s="57" t="s">
        <v>140</v>
      </c>
      <c r="F71" s="98"/>
      <c r="G71" s="49"/>
      <c r="H71" s="49"/>
      <c r="I71" s="49"/>
      <c r="J71" s="42"/>
      <c r="K71" s="42">
        <f>26+26+26+26+26</f>
        <v>130</v>
      </c>
      <c r="L71" s="46">
        <f>28+18+20+14+28</f>
        <v>108</v>
      </c>
      <c r="M71" s="48">
        <v>13</v>
      </c>
      <c r="N71" s="42">
        <v>11</v>
      </c>
      <c r="O71" s="46">
        <f t="shared" si="7"/>
        <v>24</v>
      </c>
      <c r="P71" s="50">
        <v>19</v>
      </c>
      <c r="Q71" s="50">
        <v>1</v>
      </c>
      <c r="R71" s="50">
        <v>0</v>
      </c>
      <c r="S71" s="50">
        <v>0</v>
      </c>
      <c r="T71" s="50">
        <v>0</v>
      </c>
      <c r="U71" s="50">
        <v>1</v>
      </c>
      <c r="V71" s="50">
        <v>3</v>
      </c>
      <c r="W71" s="50"/>
      <c r="X71" s="48">
        <v>8</v>
      </c>
      <c r="Y71" s="42">
        <v>10</v>
      </c>
      <c r="Z71" s="42">
        <v>0</v>
      </c>
      <c r="AA71" s="42">
        <f t="shared" si="8"/>
        <v>18</v>
      </c>
      <c r="AB71" s="51">
        <f t="shared" si="3"/>
        <v>13.5</v>
      </c>
      <c r="AC71" s="52">
        <f>(108*8)/L71+(187*2)/L71</f>
        <v>11.462962962962962</v>
      </c>
      <c r="AD71" s="42">
        <v>50</v>
      </c>
      <c r="AE71" s="58">
        <v>88.8</v>
      </c>
      <c r="AF71" s="47">
        <v>10</v>
      </c>
      <c r="AG71" s="45">
        <v>3</v>
      </c>
      <c r="AH71" s="45"/>
      <c r="AI71" s="48"/>
    </row>
    <row r="72" spans="1:35" ht="21" customHeight="1" x14ac:dyDescent="0.3">
      <c r="A72" s="57">
        <v>70</v>
      </c>
      <c r="B72" s="57">
        <v>2013</v>
      </c>
      <c r="C72" s="57" t="s">
        <v>30</v>
      </c>
      <c r="D72" s="42" t="s">
        <v>141</v>
      </c>
      <c r="E72" s="57" t="s">
        <v>142</v>
      </c>
      <c r="F72" s="98"/>
      <c r="G72" s="49"/>
      <c r="H72" s="49"/>
      <c r="I72" s="49"/>
      <c r="J72" s="42"/>
      <c r="K72" s="42">
        <f>40+32+40+40+40</f>
        <v>192</v>
      </c>
      <c r="L72" s="46">
        <f>43+31+38+39+41</f>
        <v>192</v>
      </c>
      <c r="M72" s="48">
        <v>16</v>
      </c>
      <c r="N72" s="42">
        <v>16</v>
      </c>
      <c r="O72" s="46">
        <f t="shared" si="7"/>
        <v>32</v>
      </c>
      <c r="P72" s="50">
        <v>17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1</v>
      </c>
      <c r="W72" s="50"/>
      <c r="X72" s="48">
        <v>6</v>
      </c>
      <c r="Y72" s="42">
        <v>14</v>
      </c>
      <c r="Z72" s="42">
        <v>0</v>
      </c>
      <c r="AA72" s="42">
        <f t="shared" si="8"/>
        <v>20</v>
      </c>
      <c r="AB72" s="51">
        <f t="shared" si="3"/>
        <v>32</v>
      </c>
      <c r="AC72" s="52">
        <f>(156+156+156+156+157.32+157.32+162+162+162+162)/L72</f>
        <v>8.2637499999999999</v>
      </c>
      <c r="AD72" s="42">
        <v>52</v>
      </c>
      <c r="AE72" s="58">
        <f>(31.3+32+35.2+57.1+54.1+60+50.3+55.3+67.9)/10</f>
        <v>44.320000000000007</v>
      </c>
      <c r="AF72" s="47">
        <v>2</v>
      </c>
      <c r="AG72" s="45">
        <v>2</v>
      </c>
      <c r="AH72" s="45"/>
      <c r="AI72" s="48"/>
    </row>
    <row r="73" spans="1:35" ht="21" customHeight="1" x14ac:dyDescent="0.3">
      <c r="A73" s="57">
        <v>71</v>
      </c>
      <c r="B73" s="57">
        <v>2004</v>
      </c>
      <c r="C73" s="57" t="s">
        <v>30</v>
      </c>
      <c r="D73" s="49" t="s">
        <v>31</v>
      </c>
      <c r="E73" s="57" t="s">
        <v>143</v>
      </c>
      <c r="F73" s="98"/>
      <c r="G73" s="49"/>
      <c r="H73" s="49"/>
      <c r="I73" s="49"/>
      <c r="J73" s="42"/>
      <c r="K73" s="42">
        <f>70+30</f>
        <v>100</v>
      </c>
      <c r="L73" s="46">
        <f>16+24+19+18+15</f>
        <v>92</v>
      </c>
      <c r="M73" s="48">
        <v>0</v>
      </c>
      <c r="N73" s="42">
        <v>8</v>
      </c>
      <c r="O73" s="46">
        <f t="shared" si="7"/>
        <v>8</v>
      </c>
      <c r="P73" s="50">
        <v>6</v>
      </c>
      <c r="Q73" s="50">
        <v>0</v>
      </c>
      <c r="R73" s="50">
        <v>0</v>
      </c>
      <c r="S73" s="50">
        <v>0</v>
      </c>
      <c r="T73" s="50">
        <v>0</v>
      </c>
      <c r="U73" s="50">
        <v>1</v>
      </c>
      <c r="V73" s="50">
        <v>1</v>
      </c>
      <c r="W73" s="50"/>
      <c r="X73" s="48">
        <v>6</v>
      </c>
      <c r="Y73" s="42">
        <v>10</v>
      </c>
      <c r="Z73" s="42">
        <v>0</v>
      </c>
      <c r="AA73" s="42">
        <f t="shared" si="8"/>
        <v>16</v>
      </c>
      <c r="AB73" s="51">
        <f t="shared" si="3"/>
        <v>15.333333333333334</v>
      </c>
      <c r="AC73" s="52">
        <f>1913.7/L73</f>
        <v>20.80108695652174</v>
      </c>
      <c r="AD73" s="42">
        <v>56</v>
      </c>
      <c r="AE73" s="58">
        <v>84.71</v>
      </c>
      <c r="AF73" s="47">
        <v>1</v>
      </c>
      <c r="AG73" s="45">
        <v>1</v>
      </c>
      <c r="AH73" s="45"/>
      <c r="AI73" s="48"/>
    </row>
    <row r="74" spans="1:35" ht="21" customHeight="1" thickBot="1" x14ac:dyDescent="0.35">
      <c r="A74" s="111">
        <v>72</v>
      </c>
      <c r="B74" s="111">
        <v>2001</v>
      </c>
      <c r="C74" s="111" t="s">
        <v>144</v>
      </c>
      <c r="D74" s="86" t="s">
        <v>136</v>
      </c>
      <c r="E74" s="111" t="s">
        <v>139</v>
      </c>
      <c r="F74" s="87"/>
      <c r="G74" s="88"/>
      <c r="H74" s="88"/>
      <c r="I74" s="88"/>
      <c r="J74" s="86"/>
      <c r="K74" s="86">
        <f>40+44+43+43+43</f>
        <v>213</v>
      </c>
      <c r="L74" s="90">
        <f>32+25+25+38+15</f>
        <v>135</v>
      </c>
      <c r="M74" s="89">
        <v>20</v>
      </c>
      <c r="N74" s="86">
        <f>7+5</f>
        <v>12</v>
      </c>
      <c r="O74" s="90">
        <f t="shared" si="7"/>
        <v>32</v>
      </c>
      <c r="P74" s="91">
        <f>15+14</f>
        <v>29</v>
      </c>
      <c r="Q74" s="91">
        <v>0</v>
      </c>
      <c r="R74" s="91">
        <v>0</v>
      </c>
      <c r="S74" s="91">
        <v>0</v>
      </c>
      <c r="T74" s="91">
        <v>0</v>
      </c>
      <c r="U74" s="91">
        <v>0</v>
      </c>
      <c r="V74" s="91">
        <v>3</v>
      </c>
      <c r="W74" s="91"/>
      <c r="X74" s="89">
        <v>5</v>
      </c>
      <c r="Y74" s="86">
        <v>11</v>
      </c>
      <c r="Z74" s="86">
        <v>0</v>
      </c>
      <c r="AA74" s="86">
        <f t="shared" si="8"/>
        <v>16</v>
      </c>
      <c r="AB74" s="92">
        <f t="shared" si="3"/>
        <v>27</v>
      </c>
      <c r="AC74" s="93">
        <f>1863/L74</f>
        <v>13.8</v>
      </c>
      <c r="AD74" s="86">
        <v>52</v>
      </c>
      <c r="AE74" s="94">
        <v>85.5</v>
      </c>
      <c r="AF74" s="95">
        <v>8</v>
      </c>
      <c r="AG74" s="96">
        <v>3</v>
      </c>
      <c r="AH74" s="96"/>
      <c r="AI74" s="89"/>
    </row>
    <row r="75" spans="1:35" x14ac:dyDescent="0.3">
      <c r="A75" s="112"/>
      <c r="B75" s="112"/>
      <c r="C75" s="112"/>
      <c r="D75" s="112"/>
      <c r="E75" s="112"/>
      <c r="F75" s="113"/>
      <c r="G75" s="113"/>
      <c r="H75" s="113"/>
      <c r="I75" s="113"/>
      <c r="J75" s="113"/>
      <c r="K75" s="114"/>
      <c r="L75" s="114"/>
      <c r="M75" s="114"/>
      <c r="N75" s="114"/>
      <c r="O75" s="114"/>
      <c r="P75" s="113"/>
      <c r="Q75" s="113"/>
      <c r="R75" s="113"/>
      <c r="S75" s="113"/>
      <c r="T75" s="113"/>
      <c r="U75" s="113"/>
      <c r="V75" s="113"/>
      <c r="W75" s="113"/>
    </row>
  </sheetData>
  <autoFilter ref="A1:AI71" xr:uid="{00000000-0009-0000-0000-000000000000}"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3" showButton="0"/>
    <filterColumn colId="24" showButton="0"/>
    <filterColumn colId="25" showButton="0"/>
    <filterColumn colId="31" showButton="0"/>
    <filterColumn colId="32" showButton="0"/>
  </autoFilter>
  <mergeCells count="20">
    <mergeCell ref="F1:F2"/>
    <mergeCell ref="G1:G2"/>
    <mergeCell ref="H1:H2"/>
    <mergeCell ref="I1:I2"/>
    <mergeCell ref="B1:B2"/>
    <mergeCell ref="C1:C2"/>
    <mergeCell ref="D1:D2"/>
    <mergeCell ref="E1:E2"/>
    <mergeCell ref="AI1:AI2"/>
    <mergeCell ref="AC1:AC2"/>
    <mergeCell ref="AD1:AD2"/>
    <mergeCell ref="AE1:AE2"/>
    <mergeCell ref="K1:K2"/>
    <mergeCell ref="L1:L2"/>
    <mergeCell ref="M1:O1"/>
    <mergeCell ref="P1:W1"/>
    <mergeCell ref="X1:AA1"/>
    <mergeCell ref="AB1:AB2"/>
    <mergeCell ref="AF1:AH1"/>
    <mergeCell ref="J1:J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6"/>
  <sheetViews>
    <sheetView topLeftCell="B1" workbookViewId="0">
      <selection activeCell="O1" sqref="O1:O26"/>
    </sheetView>
  </sheetViews>
  <sheetFormatPr defaultRowHeight="16.5" x14ac:dyDescent="0.3"/>
  <sheetData>
    <row r="1" spans="1:15" x14ac:dyDescent="0.3">
      <c r="A1" s="16">
        <v>100</v>
      </c>
      <c r="B1" s="16">
        <v>28</v>
      </c>
      <c r="C1" s="18">
        <v>19</v>
      </c>
      <c r="H1">
        <v>10.5</v>
      </c>
      <c r="I1">
        <v>6</v>
      </c>
      <c r="J1">
        <f t="shared" ref="J1:J10" si="0">(I1*60)/H1</f>
        <v>34.285714285714285</v>
      </c>
      <c r="O1" s="100">
        <v>10</v>
      </c>
    </row>
    <row r="2" spans="1:15" x14ac:dyDescent="0.3">
      <c r="A2" s="16">
        <v>100</v>
      </c>
      <c r="B2" s="16">
        <v>26</v>
      </c>
      <c r="C2" s="18">
        <v>20</v>
      </c>
      <c r="H2">
        <v>9.5</v>
      </c>
      <c r="I2">
        <v>6</v>
      </c>
      <c r="J2">
        <f t="shared" si="0"/>
        <v>37.89473684210526</v>
      </c>
      <c r="O2" s="37">
        <v>6</v>
      </c>
    </row>
    <row r="3" spans="1:15" x14ac:dyDescent="0.3">
      <c r="A3" s="16">
        <f>91+45</f>
        <v>136</v>
      </c>
      <c r="B3" s="16">
        <v>22</v>
      </c>
      <c r="C3" s="18">
        <v>40</v>
      </c>
      <c r="H3">
        <v>14.67</v>
      </c>
      <c r="I3">
        <v>10</v>
      </c>
      <c r="J3">
        <f t="shared" si="0"/>
        <v>40.899795501022496</v>
      </c>
      <c r="O3" s="48">
        <v>6</v>
      </c>
    </row>
    <row r="4" spans="1:15" x14ac:dyDescent="0.3">
      <c r="A4" s="16">
        <v>120</v>
      </c>
      <c r="B4" s="16">
        <v>20</v>
      </c>
      <c r="C4" s="18">
        <v>180</v>
      </c>
      <c r="H4">
        <v>14.67</v>
      </c>
      <c r="I4">
        <v>10</v>
      </c>
      <c r="J4">
        <f t="shared" si="0"/>
        <v>40.899795501022496</v>
      </c>
      <c r="O4" s="100">
        <v>10</v>
      </c>
    </row>
    <row r="5" spans="1:15" x14ac:dyDescent="0.3">
      <c r="A5" s="16">
        <v>158</v>
      </c>
      <c r="B5" s="16">
        <v>34</v>
      </c>
      <c r="C5" s="18">
        <v>72</v>
      </c>
      <c r="H5">
        <v>13</v>
      </c>
      <c r="I5">
        <v>10</v>
      </c>
      <c r="J5">
        <f t="shared" si="0"/>
        <v>46.153846153846153</v>
      </c>
      <c r="O5" s="101">
        <v>12</v>
      </c>
    </row>
    <row r="6" spans="1:15" x14ac:dyDescent="0.3">
      <c r="A6" s="16">
        <v>176</v>
      </c>
      <c r="B6" s="16">
        <v>31</v>
      </c>
      <c r="C6" s="18">
        <v>63</v>
      </c>
      <c r="H6">
        <v>13.33</v>
      </c>
      <c r="I6">
        <v>10</v>
      </c>
      <c r="J6">
        <f t="shared" si="0"/>
        <v>45.011252813203299</v>
      </c>
      <c r="O6" s="37">
        <v>9</v>
      </c>
    </row>
    <row r="7" spans="1:15" x14ac:dyDescent="0.3">
      <c r="A7" s="16">
        <v>140</v>
      </c>
      <c r="B7" s="16">
        <v>28</v>
      </c>
      <c r="C7" s="18">
        <v>69</v>
      </c>
      <c r="H7">
        <v>9.33</v>
      </c>
      <c r="I7">
        <v>10</v>
      </c>
      <c r="J7">
        <f t="shared" si="0"/>
        <v>64.308681672025727</v>
      </c>
      <c r="O7" s="48">
        <v>7</v>
      </c>
    </row>
    <row r="8" spans="1:15" ht="17.25" thickBot="1" x14ac:dyDescent="0.35">
      <c r="A8" s="16">
        <v>140</v>
      </c>
      <c r="B8" s="17">
        <v>25</v>
      </c>
      <c r="C8" s="19">
        <v>51</v>
      </c>
      <c r="H8">
        <v>8.67</v>
      </c>
      <c r="I8">
        <v>10</v>
      </c>
      <c r="J8">
        <f t="shared" si="0"/>
        <v>69.20415224913495</v>
      </c>
      <c r="O8" s="48">
        <v>7</v>
      </c>
    </row>
    <row r="9" spans="1:15" ht="17.25" thickTop="1" x14ac:dyDescent="0.3">
      <c r="A9" s="16">
        <v>139</v>
      </c>
      <c r="B9" s="14">
        <v>37</v>
      </c>
      <c r="C9" s="12">
        <v>57</v>
      </c>
      <c r="H9">
        <v>6.33</v>
      </c>
      <c r="I9">
        <v>10</v>
      </c>
      <c r="J9">
        <f t="shared" si="0"/>
        <v>94.786729857819907</v>
      </c>
      <c r="O9" s="48">
        <v>7</v>
      </c>
    </row>
    <row r="10" spans="1:15" ht="17.25" thickBot="1" x14ac:dyDescent="0.35">
      <c r="A10" s="16">
        <v>139</v>
      </c>
      <c r="B10" s="15">
        <v>35</v>
      </c>
      <c r="C10" s="13">
        <v>62</v>
      </c>
      <c r="H10">
        <v>6.33</v>
      </c>
      <c r="I10">
        <v>10</v>
      </c>
      <c r="J10">
        <f t="shared" si="0"/>
        <v>94.786729857819907</v>
      </c>
      <c r="O10" s="100">
        <v>10</v>
      </c>
    </row>
    <row r="11" spans="1:15" ht="17.25" thickTop="1" x14ac:dyDescent="0.3">
      <c r="A11" s="11">
        <f>SUM(A1:A10)</f>
        <v>1348</v>
      </c>
      <c r="B11" s="11">
        <f>SUM(B1:B10)</f>
        <v>286</v>
      </c>
      <c r="C11">
        <f>AVERAGE(C1:C10)</f>
        <v>63.3</v>
      </c>
      <c r="O11" s="37">
        <v>9</v>
      </c>
    </row>
    <row r="12" spans="1:15" x14ac:dyDescent="0.3">
      <c r="B12">
        <f>A11/B11</f>
        <v>4.7132867132867133</v>
      </c>
      <c r="O12" s="37">
        <v>6</v>
      </c>
    </row>
    <row r="13" spans="1:15" x14ac:dyDescent="0.3">
      <c r="B13">
        <f>B11*60/116.6</f>
        <v>147.16981132075472</v>
      </c>
      <c r="O13" s="48">
        <v>8</v>
      </c>
    </row>
    <row r="14" spans="1:15" x14ac:dyDescent="0.3">
      <c r="O14" s="101">
        <v>11</v>
      </c>
    </row>
    <row r="15" spans="1:15" x14ac:dyDescent="0.3">
      <c r="O15" s="37">
        <v>7</v>
      </c>
    </row>
    <row r="16" spans="1:15" x14ac:dyDescent="0.3">
      <c r="O16" s="48">
        <v>7</v>
      </c>
    </row>
    <row r="17" spans="15:15" x14ac:dyDescent="0.3">
      <c r="O17" s="73">
        <v>5</v>
      </c>
    </row>
    <row r="18" spans="15:15" x14ac:dyDescent="0.3">
      <c r="O18" s="73">
        <v>5</v>
      </c>
    </row>
    <row r="19" spans="15:15" x14ac:dyDescent="0.3">
      <c r="O19" s="66">
        <v>6</v>
      </c>
    </row>
    <row r="20" spans="15:15" x14ac:dyDescent="0.3">
      <c r="O20" s="66">
        <v>7</v>
      </c>
    </row>
    <row r="21" spans="15:15" x14ac:dyDescent="0.3">
      <c r="O21" s="37">
        <v>6</v>
      </c>
    </row>
    <row r="22" spans="15:15" x14ac:dyDescent="0.3">
      <c r="O22" s="37">
        <v>9</v>
      </c>
    </row>
    <row r="23" spans="15:15" x14ac:dyDescent="0.3">
      <c r="O23" s="48">
        <v>6</v>
      </c>
    </row>
    <row r="24" spans="15:15" x14ac:dyDescent="0.3">
      <c r="O24" s="100">
        <v>13</v>
      </c>
    </row>
    <row r="25" spans="15:15" x14ac:dyDescent="0.3">
      <c r="O25" s="73">
        <v>6</v>
      </c>
    </row>
    <row r="26" spans="15:15" x14ac:dyDescent="0.3">
      <c r="O26" s="101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인적자원, 정보자원, 스튜디오 현황 (2023.02)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건인원</dc:creator>
  <cp:lastModifiedBy>SEOL PARK</cp:lastModifiedBy>
  <dcterms:created xsi:type="dcterms:W3CDTF">2012-04-23T05:09:05Z</dcterms:created>
  <dcterms:modified xsi:type="dcterms:W3CDTF">2024-03-18T03:28:59Z</dcterms:modified>
</cp:coreProperties>
</file>