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건인원 사무국\연례보고서 통계자료\"/>
    </mc:Choice>
  </mc:AlternateContent>
  <xr:revisionPtr revIDLastSave="0" documentId="8_{89C9303B-61D7-478B-A140-A22F8D4ABC42}" xr6:coauthVersionLast="47" xr6:coauthVersionMax="47" xr10:uidLastSave="{00000000-0000-0000-0000-000000000000}"/>
  <bookViews>
    <workbookView xWindow="-120" yWindow="-120" windowWidth="29040" windowHeight="15840" tabRatio="650" xr2:uid="{00000000-000D-0000-FFFF-FFFF00000000}"/>
  </bookViews>
  <sheets>
    <sheet name="인적자원, 정보자원, 스튜디오 현황 (2022.02)" sheetId="4" r:id="rId1"/>
    <sheet name="Sheet1" sheetId="5" r:id="rId2"/>
  </sheets>
  <definedNames>
    <definedName name="_xlnm._FilterDatabase" localSheetId="0" hidden="1">'인적자원, 정보자원, 스튜디오 현황 (2022.02)'!$A$1:$AI$71</definedName>
  </definedNames>
  <calcPr calcId="181029"/>
</workbook>
</file>

<file path=xl/calcChain.xml><?xml version="1.0" encoding="utf-8"?>
<calcChain xmlns="http://schemas.openxmlformats.org/spreadsheetml/2006/main">
  <c r="AD43" i="4" l="1"/>
  <c r="L3" i="4"/>
  <c r="AC3" i="4" s="1"/>
  <c r="AB3" i="4" l="1"/>
  <c r="I12" i="5"/>
  <c r="I11" i="5"/>
  <c r="F12" i="5"/>
  <c r="F11" i="5"/>
  <c r="F10" i="5"/>
  <c r="AC69" i="4"/>
  <c r="AC53" i="4"/>
  <c r="AC60" i="4"/>
  <c r="AC59" i="4"/>
  <c r="AC58" i="4"/>
  <c r="AC57" i="4"/>
  <c r="AC56" i="4"/>
  <c r="AC55" i="4"/>
  <c r="AC54" i="4"/>
  <c r="AC52" i="4"/>
  <c r="AC51" i="4"/>
  <c r="AC50" i="4"/>
  <c r="AC49" i="4"/>
  <c r="AC48" i="4"/>
  <c r="AC47" i="4"/>
  <c r="AC46" i="4"/>
  <c r="AC45" i="4"/>
  <c r="AC44" i="4"/>
  <c r="AC43" i="4"/>
  <c r="AC42" i="4"/>
  <c r="AC41" i="4"/>
  <c r="AC40" i="4"/>
  <c r="AC39" i="4"/>
  <c r="AC38" i="4"/>
  <c r="AC37" i="4"/>
  <c r="AC36" i="4"/>
  <c r="AC35" i="4"/>
  <c r="AC34" i="4"/>
  <c r="AC19" i="4" l="1"/>
  <c r="AC18" i="4"/>
  <c r="AC17" i="4"/>
  <c r="AC16" i="4"/>
  <c r="E12" i="5"/>
  <c r="AA71" i="4"/>
  <c r="AA70" i="4"/>
  <c r="AA69" i="4"/>
  <c r="AC14" i="4"/>
  <c r="B2" i="5"/>
  <c r="B1" i="5"/>
  <c r="A10" i="5"/>
  <c r="A9" i="5"/>
  <c r="A8" i="5"/>
  <c r="A7" i="5"/>
  <c r="A6" i="5"/>
  <c r="A5" i="5"/>
  <c r="A4" i="5"/>
  <c r="A3" i="5"/>
  <c r="A2" i="5"/>
  <c r="A1" i="5"/>
  <c r="AC12" i="4"/>
  <c r="AC11" i="4"/>
  <c r="AC10" i="4"/>
  <c r="AC9" i="4"/>
  <c r="AC8" i="4"/>
  <c r="AC7" i="4" l="1"/>
  <c r="AC6" i="4"/>
  <c r="AC4" i="4"/>
  <c r="L4" i="4"/>
  <c r="AC5" i="4"/>
  <c r="O65" i="4" l="1"/>
  <c r="L65" i="4"/>
  <c r="L64" i="4"/>
  <c r="L63" i="4"/>
  <c r="L62" i="4"/>
  <c r="L61" i="4"/>
  <c r="L60" i="4"/>
  <c r="L59" i="4"/>
  <c r="L58" i="4"/>
  <c r="L57" i="4"/>
  <c r="L56" i="4"/>
  <c r="L55" i="4"/>
  <c r="L54" i="4"/>
  <c r="L53" i="4"/>
  <c r="L52" i="4"/>
  <c r="L51" i="4"/>
  <c r="L50" i="4"/>
  <c r="L49" i="4"/>
  <c r="L48" i="4"/>
  <c r="O71" i="4"/>
  <c r="L71" i="4"/>
  <c r="AB71" i="4" s="1"/>
  <c r="L47" i="4"/>
  <c r="L46" i="4"/>
  <c r="L45" i="4"/>
  <c r="L44" i="4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68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66" i="4"/>
  <c r="O70" i="4"/>
  <c r="L70" i="4"/>
  <c r="AB70" i="4" s="1"/>
  <c r="L9" i="4"/>
  <c r="L8" i="4"/>
  <c r="L69" i="4"/>
  <c r="AB69" i="4" s="1"/>
  <c r="O69" i="4"/>
  <c r="L7" i="4"/>
  <c r="L6" i="4"/>
  <c r="AH61" i="4" l="1"/>
  <c r="AH71" i="4" l="1"/>
  <c r="AH69" i="4"/>
  <c r="AH70" i="4"/>
  <c r="O67" i="4" l="1"/>
  <c r="AA67" i="4"/>
  <c r="AB67" i="4"/>
  <c r="AH67" i="4"/>
  <c r="AB68" i="4"/>
  <c r="O68" i="4"/>
  <c r="AA68" i="4"/>
  <c r="AH68" i="4"/>
  <c r="O20" i="4"/>
  <c r="O66" i="4"/>
  <c r="O57" i="4" l="1"/>
  <c r="O21" i="4" l="1"/>
  <c r="AA66" i="4"/>
  <c r="AB66" i="4"/>
  <c r="AH66" i="4"/>
  <c r="O60" i="4"/>
  <c r="AH65" i="4" l="1"/>
  <c r="AH7" i="4"/>
  <c r="AH8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AH27" i="4"/>
  <c r="AH28" i="4"/>
  <c r="AH29" i="4"/>
  <c r="AH30" i="4"/>
  <c r="AH31" i="4"/>
  <c r="AH32" i="4"/>
  <c r="AH33" i="4"/>
  <c r="AH34" i="4"/>
  <c r="AH35" i="4"/>
  <c r="AH36" i="4"/>
  <c r="AH37" i="4"/>
  <c r="AH38" i="4"/>
  <c r="AH39" i="4"/>
  <c r="AH40" i="4"/>
  <c r="AH41" i="4"/>
  <c r="AH42" i="4"/>
  <c r="AH43" i="4"/>
  <c r="AH44" i="4"/>
  <c r="AH45" i="4"/>
  <c r="AH46" i="4"/>
  <c r="AH47" i="4"/>
  <c r="AH48" i="4"/>
  <c r="AH49" i="4"/>
  <c r="AH50" i="4"/>
  <c r="AH51" i="4"/>
  <c r="AH52" i="4"/>
  <c r="AH53" i="4"/>
  <c r="AH54" i="4"/>
  <c r="AH55" i="4"/>
  <c r="AH56" i="4"/>
  <c r="AH57" i="4"/>
  <c r="AH58" i="4"/>
  <c r="AH59" i="4"/>
  <c r="AH60" i="4"/>
  <c r="AH62" i="4"/>
  <c r="AH63" i="4"/>
  <c r="AH64" i="4"/>
  <c r="AH6" i="4"/>
  <c r="AH5" i="4"/>
  <c r="AH4" i="4"/>
  <c r="AH3" i="4"/>
  <c r="O38" i="4" l="1"/>
  <c r="AB38" i="4"/>
  <c r="AA38" i="4"/>
  <c r="O7" i="4" l="1"/>
  <c r="AB7" i="4"/>
  <c r="AA7" i="4"/>
  <c r="O59" i="4" l="1"/>
  <c r="O52" i="4"/>
  <c r="AB52" i="4"/>
  <c r="AA52" i="4"/>
  <c r="O31" i="4" l="1"/>
  <c r="AB31" i="4"/>
  <c r="AA31" i="4"/>
  <c r="O25" i="4" l="1"/>
  <c r="AB25" i="4"/>
  <c r="AA25" i="4"/>
  <c r="AB21" i="4"/>
  <c r="AA21" i="4"/>
  <c r="AB20" i="4"/>
  <c r="AA20" i="4"/>
  <c r="O17" i="4"/>
  <c r="AB17" i="4"/>
  <c r="AA17" i="4"/>
  <c r="O11" i="4"/>
  <c r="AB11" i="4"/>
  <c r="AA11" i="4"/>
  <c r="AA48" i="4" l="1"/>
  <c r="AB48" i="4"/>
  <c r="O48" i="4"/>
  <c r="O64" i="4" l="1"/>
  <c r="AA42" i="4" l="1"/>
  <c r="O29" i="4" l="1"/>
  <c r="O28" i="4"/>
  <c r="AB28" i="4"/>
  <c r="AA28" i="4"/>
  <c r="O16" i="4"/>
  <c r="AB16" i="4"/>
  <c r="AA16" i="4"/>
  <c r="AB59" i="4" l="1"/>
  <c r="AA59" i="4"/>
  <c r="AB58" i="4"/>
  <c r="AA58" i="4"/>
  <c r="AA44" i="4" l="1"/>
  <c r="AB44" i="4"/>
  <c r="O44" i="4"/>
  <c r="AB32" i="4"/>
  <c r="AB5" i="4" l="1"/>
  <c r="AA5" i="4"/>
  <c r="O5" i="4"/>
  <c r="AB19" i="4"/>
  <c r="AA19" i="4"/>
  <c r="O19" i="4"/>
  <c r="AB10" i="4"/>
  <c r="AA10" i="4"/>
  <c r="O10" i="4"/>
  <c r="AB13" i="4"/>
  <c r="AA13" i="4"/>
  <c r="O13" i="4"/>
  <c r="AA3" i="4"/>
  <c r="O3" i="4"/>
  <c r="AB14" i="4"/>
  <c r="AA14" i="4"/>
  <c r="O14" i="4"/>
  <c r="AB24" i="4"/>
  <c r="AA24" i="4"/>
  <c r="O24" i="4"/>
  <c r="AB46" i="4"/>
  <c r="AA46" i="4"/>
  <c r="O46" i="4"/>
  <c r="AB51" i="4"/>
  <c r="AA51" i="4"/>
  <c r="O51" i="4"/>
  <c r="AB65" i="4"/>
  <c r="AA65" i="4"/>
  <c r="AB64" i="4"/>
  <c r="AA64" i="4"/>
  <c r="AB63" i="4"/>
  <c r="AA63" i="4"/>
  <c r="O63" i="4"/>
  <c r="AB62" i="4"/>
  <c r="AA62" i="4"/>
  <c r="O62" i="4"/>
  <c r="AB61" i="4"/>
  <c r="AA61" i="4"/>
  <c r="O61" i="4"/>
  <c r="AB60" i="4"/>
  <c r="AA60" i="4"/>
  <c r="AB56" i="4"/>
  <c r="AA56" i="4"/>
  <c r="O56" i="4"/>
  <c r="AB57" i="4"/>
  <c r="AA57" i="4"/>
  <c r="AB55" i="4"/>
  <c r="AA55" i="4"/>
  <c r="O55" i="4"/>
  <c r="AB54" i="4"/>
  <c r="AA54" i="4"/>
  <c r="O54" i="4"/>
  <c r="AB53" i="4"/>
  <c r="AA53" i="4"/>
  <c r="O53" i="4"/>
  <c r="AB49" i="4"/>
  <c r="AA49" i="4"/>
  <c r="O49" i="4"/>
  <c r="AB50" i="4"/>
  <c r="AA50" i="4"/>
  <c r="O50" i="4"/>
  <c r="AB47" i="4"/>
  <c r="AA47" i="4"/>
  <c r="O47" i="4"/>
  <c r="AB45" i="4"/>
  <c r="AA45" i="4"/>
  <c r="O45" i="4"/>
  <c r="AB43" i="4"/>
  <c r="AA43" i="4"/>
  <c r="O43" i="4"/>
  <c r="AB42" i="4"/>
  <c r="O42" i="4"/>
  <c r="AB41" i="4"/>
  <c r="AA41" i="4"/>
  <c r="O41" i="4"/>
  <c r="AB40" i="4"/>
  <c r="AA40" i="4"/>
  <c r="O40" i="4"/>
  <c r="AB39" i="4"/>
  <c r="AA39" i="4"/>
  <c r="O39" i="4"/>
  <c r="AB37" i="4"/>
  <c r="AA37" i="4"/>
  <c r="O37" i="4"/>
  <c r="AB36" i="4"/>
  <c r="AA36" i="4"/>
  <c r="O36" i="4"/>
  <c r="AB35" i="4"/>
  <c r="AA35" i="4"/>
  <c r="O35" i="4"/>
  <c r="AB34" i="4"/>
  <c r="AA34" i="4"/>
  <c r="O34" i="4"/>
  <c r="AB33" i="4"/>
  <c r="AA33" i="4"/>
  <c r="O33" i="4"/>
  <c r="AA32" i="4"/>
  <c r="O32" i="4"/>
  <c r="AB30" i="4"/>
  <c r="AA30" i="4"/>
  <c r="O30" i="4"/>
  <c r="AB29" i="4"/>
  <c r="AA29" i="4"/>
  <c r="AB27" i="4"/>
  <c r="AA27" i="4"/>
  <c r="O27" i="4"/>
  <c r="AB26" i="4"/>
  <c r="AA26" i="4"/>
  <c r="O26" i="4"/>
  <c r="AB23" i="4"/>
  <c r="AA23" i="4"/>
  <c r="O23" i="4"/>
  <c r="AB22" i="4"/>
  <c r="AA22" i="4"/>
  <c r="O22" i="4"/>
  <c r="AB18" i="4"/>
  <c r="AA18" i="4"/>
  <c r="O18" i="4"/>
  <c r="AB15" i="4"/>
  <c r="AA15" i="4"/>
  <c r="O15" i="4"/>
  <c r="AB12" i="4"/>
  <c r="AA12" i="4"/>
  <c r="O12" i="4"/>
  <c r="AB9" i="4"/>
  <c r="AA9" i="4"/>
  <c r="O9" i="4"/>
  <c r="AB8" i="4"/>
  <c r="AA8" i="4"/>
  <c r="O8" i="4"/>
  <c r="AB6" i="4"/>
  <c r="AA6" i="4"/>
  <c r="O6" i="4"/>
  <c r="AB4" i="4"/>
  <c r="AA4" i="4"/>
  <c r="O4" i="4"/>
  <c r="O58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kaab3</author>
  </authors>
  <commentList>
    <comment ref="K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학부일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학부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전공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</text>
    </comment>
    <comment ref="L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학기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인원수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휴학생제외</t>
        </r>
        <r>
          <rPr>
            <sz val="9"/>
            <color indexed="81"/>
            <rFont val="Tahoma"/>
            <family val="2"/>
          </rPr>
          <t>)</t>
        </r>
      </text>
    </comment>
    <comment ref="AC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총면적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수강생수
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AE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주당수업시간</t>
        </r>
        <r>
          <rPr>
            <sz val="9"/>
            <color indexed="81"/>
            <rFont val="Tahoma"/>
            <family val="2"/>
          </rPr>
          <t>/(</t>
        </r>
        <r>
          <rPr>
            <sz val="9"/>
            <color indexed="81"/>
            <rFont val="돋움"/>
            <family val="3"/>
            <charset val="129"/>
          </rPr>
          <t>수강생수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교수수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<sst xmlns="http://schemas.openxmlformats.org/spreadsheetml/2006/main" count="529" uniqueCount="135">
  <si>
    <t>학과</t>
    <phoneticPr fontId="1" type="noConversion"/>
  </si>
  <si>
    <t>국립</t>
  </si>
  <si>
    <t>공과대학</t>
  </si>
  <si>
    <t>건축학/건축공학</t>
  </si>
  <si>
    <t>사립</t>
  </si>
  <si>
    <t>건축학</t>
  </si>
  <si>
    <t>건축대학</t>
  </si>
  <si>
    <t>시립</t>
  </si>
  <si>
    <t>도시과학대</t>
  </si>
  <si>
    <t>설계학점</t>
    <phoneticPr fontId="1" type="noConversion"/>
  </si>
  <si>
    <t>개설년도</t>
    <phoneticPr fontId="4" type="noConversion"/>
  </si>
  <si>
    <t>대학설립유형</t>
    <phoneticPr fontId="4" type="noConversion"/>
  </si>
  <si>
    <t>프로그램소속대학</t>
    <phoneticPr fontId="4" type="noConversion"/>
  </si>
  <si>
    <t>전공구성현황</t>
    <phoneticPr fontId="4" type="noConversion"/>
  </si>
  <si>
    <t>재학생
(건축학)</t>
    <phoneticPr fontId="1" type="noConversion"/>
  </si>
  <si>
    <t>졸업생</t>
    <phoneticPr fontId="1" type="noConversion"/>
  </si>
  <si>
    <t>교수현황</t>
    <phoneticPr fontId="1" type="noConversion"/>
  </si>
  <si>
    <t>전임교수 대비 재학생 비율</t>
    <phoneticPr fontId="2" type="noConversion"/>
  </si>
  <si>
    <t>스튜디오 1인당 면적(㎡)</t>
    <phoneticPr fontId="1" type="noConversion"/>
  </si>
  <si>
    <t>남</t>
    <phoneticPr fontId="1" type="noConversion"/>
  </si>
  <si>
    <t>여</t>
    <phoneticPr fontId="1" type="noConversion"/>
  </si>
  <si>
    <t>계</t>
    <phoneticPr fontId="1" type="noConversion"/>
  </si>
  <si>
    <t>전임</t>
    <phoneticPr fontId="1" type="noConversion"/>
  </si>
  <si>
    <t>비전임</t>
    <phoneticPr fontId="1" type="noConversion"/>
  </si>
  <si>
    <t>사립</t>
    <phoneticPr fontId="4" type="noConversion"/>
  </si>
  <si>
    <t>건축학/건축공학</t>
    <phoneticPr fontId="4" type="noConversion"/>
  </si>
  <si>
    <t>학부</t>
    <phoneticPr fontId="1" type="noConversion"/>
  </si>
  <si>
    <t>국립</t>
    <phoneticPr fontId="4" type="noConversion"/>
  </si>
  <si>
    <t>대학원</t>
    <phoneticPr fontId="1" type="noConversion"/>
  </si>
  <si>
    <t>공과대학</t>
    <phoneticPr fontId="4" type="noConversion"/>
  </si>
  <si>
    <t>사립</t>
    <phoneticPr fontId="1" type="noConversion"/>
  </si>
  <si>
    <t>공과대학</t>
    <phoneticPr fontId="1" type="noConversion"/>
  </si>
  <si>
    <t>과학기술대학</t>
    <phoneticPr fontId="1" type="noConversion"/>
  </si>
  <si>
    <t>건축학/건축공학</t>
    <phoneticPr fontId="1" type="noConversion"/>
  </si>
  <si>
    <t>국립</t>
    <phoneticPr fontId="1" type="noConversion"/>
  </si>
  <si>
    <t>설계사무소</t>
    <phoneticPr fontId="1" type="noConversion"/>
  </si>
  <si>
    <t>공무원</t>
    <phoneticPr fontId="1" type="noConversion"/>
  </si>
  <si>
    <t>유학</t>
    <phoneticPr fontId="1" type="noConversion"/>
  </si>
  <si>
    <t>기타</t>
    <phoneticPr fontId="1" type="noConversion"/>
  </si>
  <si>
    <t>건축사배출현황</t>
    <phoneticPr fontId="1" type="noConversion"/>
  </si>
  <si>
    <t>졸업생 취업현황</t>
    <phoneticPr fontId="1" type="noConversion"/>
  </si>
  <si>
    <t>개인지도시간평균(분)</t>
    <phoneticPr fontId="1" type="noConversion"/>
  </si>
  <si>
    <t>학부</t>
    <phoneticPr fontId="1" type="noConversion"/>
  </si>
  <si>
    <t>건설환경조형대학</t>
    <phoneticPr fontId="1" type="noConversion"/>
  </si>
  <si>
    <t>학과</t>
    <phoneticPr fontId="1" type="noConversion"/>
  </si>
  <si>
    <t>-</t>
    <phoneticPr fontId="1" type="noConversion"/>
  </si>
  <si>
    <t>비고</t>
    <phoneticPr fontId="1" type="noConversion"/>
  </si>
  <si>
    <t>학과</t>
    <phoneticPr fontId="1" type="noConversion"/>
  </si>
  <si>
    <t>건축학</t>
    <phoneticPr fontId="1" type="noConversion"/>
  </si>
  <si>
    <t>건축학</t>
    <phoneticPr fontId="1" type="noConversion"/>
  </si>
  <si>
    <t>건축설계/건축시스템</t>
    <phoneticPr fontId="1" type="noConversion"/>
  </si>
  <si>
    <t>디자인환경대학</t>
    <phoneticPr fontId="1" type="noConversion"/>
  </si>
  <si>
    <t>건축학</t>
    <phoneticPr fontId="1" type="noConversion"/>
  </si>
  <si>
    <t>건축학/건축공학/도시공학/토목공학</t>
    <phoneticPr fontId="1" type="noConversion"/>
  </si>
  <si>
    <t>건축학/건축사회환경공학</t>
    <phoneticPr fontId="1" type="noConversion"/>
  </si>
  <si>
    <t>건축학</t>
    <phoneticPr fontId="1" type="noConversion"/>
  </si>
  <si>
    <t>건축학/건축공학/건축디자인</t>
    <phoneticPr fontId="1" type="noConversion"/>
  </si>
  <si>
    <t>디자인건축융합대학</t>
    <phoneticPr fontId="1" type="noConversion"/>
  </si>
  <si>
    <t>건축학/실내공간디자인학전공</t>
    <phoneticPr fontId="1" type="noConversion"/>
  </si>
  <si>
    <t>사립</t>
    <phoneticPr fontId="1" type="noConversion"/>
  </si>
  <si>
    <t>학과</t>
    <phoneticPr fontId="1" type="noConversion"/>
  </si>
  <si>
    <t>건축도시설계/건축공학</t>
    <phoneticPr fontId="1" type="noConversion"/>
  </si>
  <si>
    <t>건설교통대학</t>
    <phoneticPr fontId="1" type="noConversion"/>
  </si>
  <si>
    <t>국립</t>
    <phoneticPr fontId="1" type="noConversion"/>
  </si>
  <si>
    <t>미술원</t>
    <phoneticPr fontId="1" type="noConversion"/>
  </si>
  <si>
    <t>건축과</t>
    <phoneticPr fontId="1" type="noConversion"/>
  </si>
  <si>
    <t>학과</t>
    <phoneticPr fontId="1" type="noConversion"/>
  </si>
  <si>
    <t>건축학</t>
    <phoneticPr fontId="1" type="noConversion"/>
  </si>
  <si>
    <t>건축학</t>
    <phoneticPr fontId="1" type="noConversion"/>
  </si>
  <si>
    <t>건축대학</t>
    <phoneticPr fontId="1" type="noConversion"/>
  </si>
  <si>
    <t>건축학/실내건축학</t>
    <phoneticPr fontId="1" type="noConversion"/>
  </si>
  <si>
    <t>건축학</t>
    <phoneticPr fontId="1" type="noConversion"/>
  </si>
  <si>
    <t>공과대학</t>
    <phoneticPr fontId="1" type="noConversion"/>
  </si>
  <si>
    <t>건축학/건축공학</t>
    <phoneticPr fontId="1" type="noConversion"/>
  </si>
  <si>
    <t>학부</t>
    <phoneticPr fontId="1" type="noConversion"/>
  </si>
  <si>
    <t>국립</t>
    <phoneticPr fontId="1" type="noConversion"/>
  </si>
  <si>
    <t>사립</t>
    <phoneticPr fontId="1" type="noConversion"/>
  </si>
  <si>
    <t>김소월
대학</t>
    <phoneticPr fontId="1" type="noConversion"/>
  </si>
  <si>
    <t>건축학/실내건축학</t>
    <phoneticPr fontId="1" type="noConversion"/>
  </si>
  <si>
    <t>학부</t>
    <phoneticPr fontId="1" type="noConversion"/>
  </si>
  <si>
    <t>건축학</t>
    <phoneticPr fontId="1" type="noConversion"/>
  </si>
  <si>
    <t>학과</t>
    <phoneticPr fontId="1" type="noConversion"/>
  </si>
  <si>
    <t>국립</t>
    <phoneticPr fontId="1" type="noConversion"/>
  </si>
  <si>
    <t>사립</t>
    <phoneticPr fontId="1" type="noConversion"/>
  </si>
  <si>
    <t>공과대학</t>
    <phoneticPr fontId="1" type="noConversion"/>
  </si>
  <si>
    <t>-</t>
    <phoneticPr fontId="1" type="noConversion"/>
  </si>
  <si>
    <t>문화예술대학</t>
    <phoneticPr fontId="1" type="noConversion"/>
  </si>
  <si>
    <t>건축ㆍ디자인대학</t>
    <phoneticPr fontId="1" type="noConversion"/>
  </si>
  <si>
    <t>건축학</t>
    <phoneticPr fontId="1" type="noConversion"/>
  </si>
  <si>
    <t>토목공학/건축학/건축공학</t>
    <phoneticPr fontId="1" type="noConversion"/>
  </si>
  <si>
    <t>학과</t>
    <phoneticPr fontId="1" type="noConversion"/>
  </si>
  <si>
    <t>학부</t>
    <phoneticPr fontId="1" type="noConversion"/>
  </si>
  <si>
    <t>건축학</t>
    <phoneticPr fontId="1" type="noConversion"/>
  </si>
  <si>
    <t>편입생</t>
    <phoneticPr fontId="1" type="noConversion"/>
  </si>
  <si>
    <t>국립</t>
    <phoneticPr fontId="1" type="noConversion"/>
  </si>
  <si>
    <t>건축학</t>
    <phoneticPr fontId="1" type="noConversion"/>
  </si>
  <si>
    <t>학과</t>
    <phoneticPr fontId="1" type="noConversion"/>
  </si>
  <si>
    <t>건설환경공과대학</t>
    <phoneticPr fontId="1" type="noConversion"/>
  </si>
  <si>
    <t>지원자수</t>
    <phoneticPr fontId="1" type="noConversion"/>
  </si>
  <si>
    <t>국립</t>
    <phoneticPr fontId="1" type="noConversion"/>
  </si>
  <si>
    <t>건축학</t>
    <phoneticPr fontId="1" type="noConversion"/>
  </si>
  <si>
    <t>학부</t>
    <phoneticPr fontId="1" type="noConversion"/>
  </si>
  <si>
    <t>공과대학</t>
    <phoneticPr fontId="1" type="noConversion"/>
  </si>
  <si>
    <t>-</t>
    <phoneticPr fontId="1" type="noConversion"/>
  </si>
  <si>
    <t>입학생수</t>
    <phoneticPr fontId="1" type="noConversion"/>
  </si>
  <si>
    <t>전체
수</t>
    <phoneticPr fontId="1" type="noConversion"/>
  </si>
  <si>
    <t>건설
회사</t>
    <phoneticPr fontId="1" type="noConversion"/>
  </si>
  <si>
    <t>인테
리어</t>
    <phoneticPr fontId="1" type="noConversion"/>
  </si>
  <si>
    <t>모집
구분</t>
    <phoneticPr fontId="1" type="noConversion"/>
  </si>
  <si>
    <t>공과대학</t>
    <phoneticPr fontId="1" type="noConversion"/>
  </si>
  <si>
    <t>사립</t>
    <phoneticPr fontId="1" type="noConversion"/>
  </si>
  <si>
    <t>건축학</t>
    <phoneticPr fontId="1" type="noConversion"/>
  </si>
  <si>
    <t>건축학/건축공학/토목공학</t>
    <phoneticPr fontId="1" type="noConversion"/>
  </si>
  <si>
    <t>건축학</t>
    <phoneticPr fontId="1" type="noConversion"/>
  </si>
  <si>
    <t>건축학</t>
    <phoneticPr fontId="1" type="noConversion"/>
  </si>
  <si>
    <t>건축학부</t>
    <phoneticPr fontId="1" type="noConversion"/>
  </si>
  <si>
    <t>학과</t>
    <phoneticPr fontId="1" type="noConversion"/>
  </si>
  <si>
    <t>전통건축/건축학</t>
    <phoneticPr fontId="1" type="noConversion"/>
  </si>
  <si>
    <t>건축설계학과/실내건축설계학과</t>
    <phoneticPr fontId="1" type="noConversion"/>
  </si>
  <si>
    <t>건축학전공
입학
정원</t>
    <phoneticPr fontId="1" type="noConversion"/>
  </si>
  <si>
    <t>편입생 데이터 없음</t>
    <phoneticPr fontId="1" type="noConversion"/>
  </si>
  <si>
    <t>21.02/08 졸업생 22.02 졸업생 없음</t>
    <phoneticPr fontId="1" type="noConversion"/>
  </si>
  <si>
    <t>27/51</t>
    <phoneticPr fontId="1" type="noConversion"/>
  </si>
  <si>
    <t>타과 전임</t>
    <phoneticPr fontId="1" type="noConversion"/>
  </si>
  <si>
    <t>-</t>
  </si>
  <si>
    <t>건축공학부 건축학전공</t>
    <phoneticPr fontId="4" type="noConversion"/>
  </si>
  <si>
    <t>건축학부 건축학전공</t>
    <phoneticPr fontId="1" type="noConversion"/>
  </si>
  <si>
    <t>사람</t>
    <phoneticPr fontId="1" type="noConversion"/>
  </si>
  <si>
    <t>건축학과</t>
    <phoneticPr fontId="1" type="noConversion"/>
  </si>
  <si>
    <t>건축디자인학과</t>
    <phoneticPr fontId="1" type="noConversion"/>
  </si>
  <si>
    <t>취업현황 자료 없음</t>
  </si>
  <si>
    <t>취업현황 자료 없음</t>
    <phoneticPr fontId="1" type="noConversion"/>
  </si>
  <si>
    <t>21.02년 졸업생 및 취업현황 자료 없음</t>
    <phoneticPr fontId="1" type="noConversion"/>
  </si>
  <si>
    <t xml:space="preserve">21.08 졸업생 및 취업현황 자료 없음 </t>
    <phoneticPr fontId="1" type="noConversion"/>
  </si>
  <si>
    <t xml:space="preserve">편입생 데이터 없음 및 취업현황 자료 없음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</si>
</sst>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0_ "/>
    <numFmt numFmtId="178" formatCode="0.0;_탿"/>
    <numFmt numFmtId="179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7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>
      <alignment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29" xfId="0" applyBorder="1">
      <alignment vertical="center"/>
    </xf>
    <xf numFmtId="0" fontId="0" fillId="0" borderId="28" xfId="0" applyBorder="1">
      <alignment vertical="center"/>
    </xf>
    <xf numFmtId="179" fontId="0" fillId="0" borderId="0" xfId="0" applyNumberFormat="1" applyAlignment="1">
      <alignment horizontal="center" vertical="center"/>
    </xf>
    <xf numFmtId="179" fontId="7" fillId="2" borderId="24" xfId="0" applyNumberFormat="1" applyFont="1" applyFill="1" applyBorder="1" applyAlignment="1">
      <alignment horizontal="center" vertical="center" wrapText="1"/>
    </xf>
    <xf numFmtId="179" fontId="7" fillId="2" borderId="31" xfId="0" applyNumberFormat="1" applyFont="1" applyFill="1" applyBorder="1" applyAlignment="1">
      <alignment horizontal="center" vertical="center" wrapText="1"/>
    </xf>
    <xf numFmtId="179" fontId="7" fillId="2" borderId="30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9" fontId="6" fillId="0" borderId="25" xfId="0" applyNumberFormat="1" applyFont="1" applyBorder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9" fontId="6" fillId="0" borderId="5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179" fontId="6" fillId="0" borderId="12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7" fontId="6" fillId="0" borderId="1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78" fontId="6" fillId="0" borderId="19" xfId="0" applyNumberFormat="1" applyFont="1" applyBorder="1" applyAlignment="1">
      <alignment horizontal="center" vertical="center"/>
    </xf>
    <xf numFmtId="177" fontId="6" fillId="0" borderId="19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7" fontId="6" fillId="0" borderId="18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179" fontId="6" fillId="0" borderId="7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79" fontId="6" fillId="0" borderId="26" xfId="0" applyNumberFormat="1" applyFont="1" applyBorder="1" applyAlignment="1">
      <alignment horizontal="center" vertical="center"/>
    </xf>
    <xf numFmtId="177" fontId="6" fillId="0" borderId="26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176" fontId="6" fillId="0" borderId="22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177" fontId="6" fillId="0" borderId="24" xfId="0" applyNumberFormat="1" applyFont="1" applyBorder="1" applyAlignment="1">
      <alignment horizontal="center" vertical="center"/>
    </xf>
    <xf numFmtId="178" fontId="6" fillId="0" borderId="15" xfId="0" applyNumberFormat="1" applyFont="1" applyBorder="1" applyAlignment="1">
      <alignment horizontal="center" vertical="center"/>
    </xf>
    <xf numFmtId="179" fontId="6" fillId="0" borderId="24" xfId="0" applyNumberFormat="1" applyFont="1" applyBorder="1" applyAlignment="1">
      <alignment horizontal="center" vertical="center"/>
    </xf>
    <xf numFmtId="179" fontId="6" fillId="0" borderId="20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/>
    </xf>
    <xf numFmtId="0" fontId="18" fillId="2" borderId="27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center" vertical="center"/>
    </xf>
    <xf numFmtId="177" fontId="6" fillId="0" borderId="25" xfId="0" applyNumberFormat="1" applyFont="1" applyBorder="1" applyAlignment="1">
      <alignment horizontal="center" vertical="center"/>
    </xf>
    <xf numFmtId="178" fontId="6" fillId="0" borderId="17" xfId="0" applyNumberFormat="1" applyFont="1" applyBorder="1" applyAlignment="1">
      <alignment horizontal="center" vertical="center"/>
    </xf>
    <xf numFmtId="178" fontId="6" fillId="0" borderId="22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71"/>
  <sheetViews>
    <sheetView tabSelected="1" zoomScale="115" zoomScaleNormal="115" workbookViewId="0">
      <pane xSplit="5" ySplit="2" topLeftCell="F3" activePane="bottomRight" state="frozen"/>
      <selection pane="topRight" activeCell="C1" sqref="C1"/>
      <selection pane="bottomLeft" activeCell="A3" sqref="A3"/>
      <selection pane="bottomRight" activeCell="F1" sqref="F1:F1048576"/>
    </sheetView>
  </sheetViews>
  <sheetFormatPr defaultRowHeight="16.5" x14ac:dyDescent="0.3"/>
  <cols>
    <col min="1" max="1" width="4.25" customWidth="1"/>
    <col min="2" max="2" width="7" customWidth="1"/>
    <col min="3" max="3" width="5.75" customWidth="1"/>
    <col min="4" max="4" width="6.125" customWidth="1"/>
    <col min="5" max="5" width="24.5" customWidth="1"/>
    <col min="6" max="6" width="7" style="7" hidden="1" customWidth="1"/>
    <col min="7" max="7" width="5.75" style="7" hidden="1" customWidth="1"/>
    <col min="8" max="8" width="6.125" style="7" hidden="1" customWidth="1"/>
    <col min="9" max="9" width="24.5" style="7" hidden="1" customWidth="1"/>
    <col min="10" max="10" width="4.875" style="7" hidden="1" customWidth="1"/>
    <col min="11" max="31" width="5.625" style="7" customWidth="1"/>
    <col min="32" max="33" width="5.625" style="11" customWidth="1"/>
    <col min="34" max="34" width="5.625" style="11" hidden="1" customWidth="1"/>
    <col min="35" max="35" width="33" style="8" bestFit="1" customWidth="1"/>
  </cols>
  <sheetData>
    <row r="1" spans="1:40" ht="16.5" customHeight="1" x14ac:dyDescent="0.3">
      <c r="A1" s="9"/>
      <c r="B1" s="75" t="s">
        <v>10</v>
      </c>
      <c r="C1" s="75" t="s">
        <v>11</v>
      </c>
      <c r="D1" s="75" t="s">
        <v>12</v>
      </c>
      <c r="E1" s="75" t="s">
        <v>13</v>
      </c>
      <c r="F1" s="79" t="s">
        <v>10</v>
      </c>
      <c r="G1" s="79" t="s">
        <v>11</v>
      </c>
      <c r="H1" s="79" t="s">
        <v>12</v>
      </c>
      <c r="I1" s="79" t="s">
        <v>13</v>
      </c>
      <c r="J1" s="79" t="s">
        <v>108</v>
      </c>
      <c r="K1" s="79" t="s">
        <v>119</v>
      </c>
      <c r="L1" s="81" t="s">
        <v>14</v>
      </c>
      <c r="M1" s="83" t="s">
        <v>15</v>
      </c>
      <c r="N1" s="84"/>
      <c r="O1" s="85"/>
      <c r="P1" s="83" t="s">
        <v>40</v>
      </c>
      <c r="Q1" s="84"/>
      <c r="R1" s="84"/>
      <c r="S1" s="84"/>
      <c r="T1" s="84"/>
      <c r="U1" s="84"/>
      <c r="V1" s="84"/>
      <c r="W1" s="85"/>
      <c r="X1" s="83" t="s">
        <v>16</v>
      </c>
      <c r="Y1" s="84"/>
      <c r="Z1" s="84"/>
      <c r="AA1" s="86"/>
      <c r="AB1" s="87" t="s">
        <v>17</v>
      </c>
      <c r="AC1" s="73" t="s">
        <v>18</v>
      </c>
      <c r="AD1" s="75" t="s">
        <v>9</v>
      </c>
      <c r="AE1" s="77" t="s">
        <v>41</v>
      </c>
      <c r="AF1" s="89" t="s">
        <v>93</v>
      </c>
      <c r="AG1" s="90"/>
      <c r="AH1" s="91"/>
      <c r="AI1" s="71" t="s">
        <v>46</v>
      </c>
    </row>
    <row r="2" spans="1:40" ht="23.25" thickBot="1" x14ac:dyDescent="0.35">
      <c r="A2" s="10"/>
      <c r="B2" s="76"/>
      <c r="C2" s="76"/>
      <c r="D2" s="76"/>
      <c r="E2" s="76"/>
      <c r="F2" s="80"/>
      <c r="G2" s="80"/>
      <c r="H2" s="80"/>
      <c r="I2" s="80"/>
      <c r="J2" s="80"/>
      <c r="K2" s="80"/>
      <c r="L2" s="82"/>
      <c r="M2" s="1" t="s">
        <v>19</v>
      </c>
      <c r="N2" s="4" t="s">
        <v>20</v>
      </c>
      <c r="O2" s="2" t="s">
        <v>21</v>
      </c>
      <c r="P2" s="5" t="s">
        <v>35</v>
      </c>
      <c r="Q2" s="5" t="s">
        <v>106</v>
      </c>
      <c r="R2" s="5" t="s">
        <v>107</v>
      </c>
      <c r="S2" s="5" t="s">
        <v>36</v>
      </c>
      <c r="T2" s="5" t="s">
        <v>37</v>
      </c>
      <c r="U2" s="5" t="s">
        <v>28</v>
      </c>
      <c r="V2" s="5" t="s">
        <v>38</v>
      </c>
      <c r="W2" s="3" t="s">
        <v>39</v>
      </c>
      <c r="X2" s="1" t="s">
        <v>22</v>
      </c>
      <c r="Y2" s="4" t="s">
        <v>23</v>
      </c>
      <c r="Z2" s="6" t="s">
        <v>123</v>
      </c>
      <c r="AA2" s="4" t="s">
        <v>21</v>
      </c>
      <c r="AB2" s="88"/>
      <c r="AC2" s="74"/>
      <c r="AD2" s="76"/>
      <c r="AE2" s="78"/>
      <c r="AF2" s="12" t="s">
        <v>98</v>
      </c>
      <c r="AG2" s="13" t="s">
        <v>104</v>
      </c>
      <c r="AH2" s="14" t="s">
        <v>105</v>
      </c>
      <c r="AI2" s="72"/>
    </row>
    <row r="3" spans="1:40" ht="21.95" customHeight="1" x14ac:dyDescent="0.3">
      <c r="A3" s="8">
        <v>1</v>
      </c>
      <c r="B3" s="16">
        <v>2004</v>
      </c>
      <c r="C3" s="16" t="s">
        <v>30</v>
      </c>
      <c r="D3" s="16" t="s">
        <v>31</v>
      </c>
      <c r="E3" s="16" t="s">
        <v>33</v>
      </c>
      <c r="F3" s="16">
        <v>2004</v>
      </c>
      <c r="G3" s="16" t="s">
        <v>30</v>
      </c>
      <c r="H3" s="16" t="s">
        <v>31</v>
      </c>
      <c r="I3" s="16" t="s">
        <v>33</v>
      </c>
      <c r="J3" s="15" t="s">
        <v>26</v>
      </c>
      <c r="K3" s="37">
        <v>40</v>
      </c>
      <c r="L3" s="92">
        <f>34+47+32+50+32</f>
        <v>195</v>
      </c>
      <c r="M3" s="69">
        <v>29</v>
      </c>
      <c r="N3" s="37">
        <v>14</v>
      </c>
      <c r="O3" s="93">
        <f>SUM(M3:N3)</f>
        <v>43</v>
      </c>
      <c r="P3" s="94">
        <v>18</v>
      </c>
      <c r="Q3" s="94">
        <v>1</v>
      </c>
      <c r="R3" s="94">
        <v>1</v>
      </c>
      <c r="S3" s="94">
        <v>0</v>
      </c>
      <c r="T3" s="94">
        <v>1</v>
      </c>
      <c r="U3" s="94">
        <v>1</v>
      </c>
      <c r="V3" s="94">
        <v>11</v>
      </c>
      <c r="W3" s="94"/>
      <c r="X3" s="69">
        <v>9</v>
      </c>
      <c r="Y3" s="37">
        <v>23</v>
      </c>
      <c r="Z3" s="37">
        <v>0</v>
      </c>
      <c r="AA3" s="37">
        <f>SUM(X3:Z3)</f>
        <v>32</v>
      </c>
      <c r="AB3" s="29">
        <f t="shared" ref="AB3:AB34" si="0">L3/X3</f>
        <v>21.666666666666668</v>
      </c>
      <c r="AC3" s="96">
        <f>567.08/L3</f>
        <v>2.9081025641025642</v>
      </c>
      <c r="AD3" s="15">
        <v>53</v>
      </c>
      <c r="AE3" s="97">
        <v>44.48</v>
      </c>
      <c r="AF3" s="17"/>
      <c r="AG3" s="18">
        <v>2</v>
      </c>
      <c r="AH3" s="18">
        <f>AF3+AG3</f>
        <v>2</v>
      </c>
      <c r="AI3" s="99"/>
    </row>
    <row r="4" spans="1:40" ht="21.95" customHeight="1" x14ac:dyDescent="0.3">
      <c r="A4" s="19">
        <v>2</v>
      </c>
      <c r="B4" s="21">
        <v>2002</v>
      </c>
      <c r="C4" s="21" t="s">
        <v>1</v>
      </c>
      <c r="D4" s="21" t="s">
        <v>2</v>
      </c>
      <c r="E4" s="21" t="s">
        <v>48</v>
      </c>
      <c r="F4" s="21">
        <v>2002</v>
      </c>
      <c r="G4" s="21" t="s">
        <v>1</v>
      </c>
      <c r="H4" s="21" t="s">
        <v>2</v>
      </c>
      <c r="I4" s="21" t="s">
        <v>111</v>
      </c>
      <c r="J4" s="20" t="s">
        <v>0</v>
      </c>
      <c r="K4" s="22">
        <v>25</v>
      </c>
      <c r="L4" s="24">
        <f>26+27+33+30+41</f>
        <v>157</v>
      </c>
      <c r="M4" s="26">
        <v>16</v>
      </c>
      <c r="N4" s="22">
        <v>12</v>
      </c>
      <c r="O4" s="24">
        <f>SUM(M4:N4)</f>
        <v>28</v>
      </c>
      <c r="P4" s="28">
        <v>21</v>
      </c>
      <c r="Q4" s="28">
        <v>0</v>
      </c>
      <c r="R4" s="28">
        <v>0</v>
      </c>
      <c r="S4" s="28">
        <v>1</v>
      </c>
      <c r="T4" s="28">
        <v>0</v>
      </c>
      <c r="U4" s="28">
        <v>0</v>
      </c>
      <c r="V4" s="28">
        <v>1</v>
      </c>
      <c r="W4" s="28"/>
      <c r="X4" s="26">
        <v>10</v>
      </c>
      <c r="Y4" s="22">
        <v>18</v>
      </c>
      <c r="Z4" s="22">
        <v>0</v>
      </c>
      <c r="AA4" s="22">
        <f>SUM(X4:Z4)</f>
        <v>28</v>
      </c>
      <c r="AB4" s="29">
        <f t="shared" si="0"/>
        <v>15.7</v>
      </c>
      <c r="AC4" s="30">
        <f>1689/332</f>
        <v>5.0873493975903612</v>
      </c>
      <c r="AD4" s="22">
        <v>69</v>
      </c>
      <c r="AE4" s="24">
        <v>65</v>
      </c>
      <c r="AF4" s="25"/>
      <c r="AG4" s="23">
        <v>8</v>
      </c>
      <c r="AH4" s="23">
        <f>AF4+AG4</f>
        <v>8</v>
      </c>
      <c r="AI4" s="26"/>
      <c r="AL4" s="65"/>
      <c r="AM4" s="65"/>
      <c r="AN4" s="65"/>
    </row>
    <row r="5" spans="1:40" ht="21.95" customHeight="1" x14ac:dyDescent="0.3">
      <c r="A5" s="19">
        <v>3</v>
      </c>
      <c r="B5" s="21">
        <v>1999</v>
      </c>
      <c r="C5" s="21" t="s">
        <v>4</v>
      </c>
      <c r="D5" s="21" t="s">
        <v>45</v>
      </c>
      <c r="E5" s="21" t="s">
        <v>118</v>
      </c>
      <c r="F5" s="21">
        <v>1996</v>
      </c>
      <c r="G5" s="21" t="s">
        <v>4</v>
      </c>
      <c r="H5" s="21" t="s">
        <v>45</v>
      </c>
      <c r="I5" s="21" t="s">
        <v>118</v>
      </c>
      <c r="J5" s="20" t="s">
        <v>28</v>
      </c>
      <c r="K5" s="22">
        <v>37</v>
      </c>
      <c r="L5" s="24">
        <v>99</v>
      </c>
      <c r="M5" s="26">
        <v>20</v>
      </c>
      <c r="N5" s="22">
        <v>16</v>
      </c>
      <c r="O5" s="24">
        <f>SUM(M5:N5)</f>
        <v>36</v>
      </c>
      <c r="P5" s="28">
        <v>19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17</v>
      </c>
      <c r="W5" s="28">
        <v>8</v>
      </c>
      <c r="X5" s="26">
        <v>5</v>
      </c>
      <c r="Y5" s="22">
        <v>0</v>
      </c>
      <c r="Z5" s="22">
        <v>0</v>
      </c>
      <c r="AA5" s="22">
        <f>SUM(X5:Z5)</f>
        <v>5</v>
      </c>
      <c r="AB5" s="29">
        <f t="shared" si="0"/>
        <v>19.8</v>
      </c>
      <c r="AC5" s="30">
        <f>1101/182</f>
        <v>6.0494505494505493</v>
      </c>
      <c r="AD5" s="22" t="s">
        <v>122</v>
      </c>
      <c r="AE5" s="24">
        <v>43</v>
      </c>
      <c r="AF5" s="25">
        <v>142</v>
      </c>
      <c r="AG5" s="23">
        <v>33</v>
      </c>
      <c r="AH5" s="23">
        <f>AF5+AG5</f>
        <v>175</v>
      </c>
      <c r="AI5" s="26"/>
    </row>
    <row r="6" spans="1:40" ht="21.95" customHeight="1" x14ac:dyDescent="0.3">
      <c r="A6" s="19">
        <v>4</v>
      </c>
      <c r="B6" s="21">
        <v>2002</v>
      </c>
      <c r="C6" s="21" t="s">
        <v>4</v>
      </c>
      <c r="D6" s="21" t="s">
        <v>2</v>
      </c>
      <c r="E6" s="21" t="s">
        <v>3</v>
      </c>
      <c r="F6" s="21">
        <v>2002</v>
      </c>
      <c r="G6" s="21" t="s">
        <v>4</v>
      </c>
      <c r="H6" s="21" t="s">
        <v>2</v>
      </c>
      <c r="I6" s="21" t="s">
        <v>3</v>
      </c>
      <c r="J6" s="20" t="s">
        <v>26</v>
      </c>
      <c r="K6" s="22">
        <v>55</v>
      </c>
      <c r="L6" s="24">
        <f>47+39+50+69+69</f>
        <v>274</v>
      </c>
      <c r="M6" s="26">
        <v>25</v>
      </c>
      <c r="N6" s="22">
        <v>27</v>
      </c>
      <c r="O6" s="24">
        <f>SUM(M6:N6)</f>
        <v>52</v>
      </c>
      <c r="P6" s="28">
        <v>18</v>
      </c>
      <c r="Q6" s="28">
        <v>3</v>
      </c>
      <c r="R6" s="28">
        <v>0</v>
      </c>
      <c r="S6" s="28">
        <v>0</v>
      </c>
      <c r="T6" s="28">
        <v>0</v>
      </c>
      <c r="U6" s="28">
        <v>1</v>
      </c>
      <c r="V6" s="28">
        <v>30</v>
      </c>
      <c r="W6" s="28"/>
      <c r="X6" s="26">
        <v>11</v>
      </c>
      <c r="Y6" s="22">
        <v>16</v>
      </c>
      <c r="Z6" s="22">
        <v>0</v>
      </c>
      <c r="AA6" s="22">
        <f>SUM(X6:Z6)</f>
        <v>27</v>
      </c>
      <c r="AB6" s="29">
        <f t="shared" si="0"/>
        <v>24.90909090909091</v>
      </c>
      <c r="AC6" s="30">
        <f>(188+188+219+274+284+284+302+302+342+342)/560</f>
        <v>4.8660714285714288</v>
      </c>
      <c r="AD6" s="22">
        <v>60</v>
      </c>
      <c r="AE6" s="29">
        <v>45.7</v>
      </c>
      <c r="AF6" s="25"/>
      <c r="AG6" s="23">
        <v>2</v>
      </c>
      <c r="AH6" s="23">
        <f>AF6+AG6</f>
        <v>2</v>
      </c>
      <c r="AI6" s="26"/>
    </row>
    <row r="7" spans="1:40" ht="21.95" customHeight="1" x14ac:dyDescent="0.3">
      <c r="A7" s="19">
        <v>5</v>
      </c>
      <c r="B7" s="21">
        <v>2006</v>
      </c>
      <c r="C7" s="21" t="s">
        <v>34</v>
      </c>
      <c r="D7" s="21" t="s">
        <v>97</v>
      </c>
      <c r="E7" s="21" t="s">
        <v>48</v>
      </c>
      <c r="F7" s="21">
        <v>2006</v>
      </c>
      <c r="G7" s="21" t="s">
        <v>94</v>
      </c>
      <c r="H7" s="21" t="s">
        <v>97</v>
      </c>
      <c r="I7" s="21" t="s">
        <v>95</v>
      </c>
      <c r="J7" s="20" t="s">
        <v>96</v>
      </c>
      <c r="K7" s="22">
        <v>24</v>
      </c>
      <c r="L7" s="24">
        <f>24+25+17+26+23</f>
        <v>115</v>
      </c>
      <c r="M7" s="26">
        <v>8</v>
      </c>
      <c r="N7" s="22">
        <v>14</v>
      </c>
      <c r="O7" s="24">
        <f>SUM(M7:N7)</f>
        <v>22</v>
      </c>
      <c r="P7" s="28">
        <v>17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5</v>
      </c>
      <c r="W7" s="28"/>
      <c r="X7" s="26">
        <v>6</v>
      </c>
      <c r="Y7" s="22">
        <v>12</v>
      </c>
      <c r="Z7" s="22">
        <v>0</v>
      </c>
      <c r="AA7" s="22">
        <f>SUM(X7:Z7)</f>
        <v>18</v>
      </c>
      <c r="AB7" s="29">
        <f t="shared" si="0"/>
        <v>19.166666666666668</v>
      </c>
      <c r="AC7" s="30">
        <f>1248/222</f>
        <v>5.6216216216216219</v>
      </c>
      <c r="AD7" s="22">
        <v>50</v>
      </c>
      <c r="AE7" s="29">
        <v>72.400000000000006</v>
      </c>
      <c r="AF7" s="25">
        <v>17</v>
      </c>
      <c r="AG7" s="23">
        <v>2</v>
      </c>
      <c r="AH7" s="23">
        <f t="shared" ref="AH7:AH64" si="1">AF7+AG7</f>
        <v>19</v>
      </c>
      <c r="AI7" s="26"/>
      <c r="AL7" s="65"/>
      <c r="AM7" s="65"/>
      <c r="AN7" s="65"/>
    </row>
    <row r="8" spans="1:40" ht="21.95" customHeight="1" x14ac:dyDescent="0.3">
      <c r="A8" s="19">
        <v>6</v>
      </c>
      <c r="B8" s="21">
        <v>2002</v>
      </c>
      <c r="C8" s="21" t="s">
        <v>1</v>
      </c>
      <c r="D8" s="21" t="s">
        <v>2</v>
      </c>
      <c r="E8" s="21" t="s">
        <v>3</v>
      </c>
      <c r="F8" s="21">
        <v>2002</v>
      </c>
      <c r="G8" s="21" t="s">
        <v>1</v>
      </c>
      <c r="H8" s="21" t="s">
        <v>2</v>
      </c>
      <c r="I8" s="21" t="s">
        <v>3</v>
      </c>
      <c r="J8" s="20" t="s">
        <v>26</v>
      </c>
      <c r="K8" s="22">
        <v>40</v>
      </c>
      <c r="L8" s="24">
        <f>45+41+41+39+53</f>
        <v>219</v>
      </c>
      <c r="M8" s="26">
        <v>18</v>
      </c>
      <c r="N8" s="22">
        <v>20</v>
      </c>
      <c r="O8" s="24">
        <f t="shared" ref="O8:O38" si="2">SUM(M8:N8)</f>
        <v>38</v>
      </c>
      <c r="P8" s="28">
        <v>8</v>
      </c>
      <c r="Q8" s="28">
        <v>0</v>
      </c>
      <c r="R8" s="28">
        <v>0</v>
      </c>
      <c r="S8" s="28">
        <v>0</v>
      </c>
      <c r="T8" s="28">
        <v>0</v>
      </c>
      <c r="U8" s="28">
        <v>2</v>
      </c>
      <c r="V8" s="28">
        <v>0</v>
      </c>
      <c r="W8" s="28"/>
      <c r="X8" s="26">
        <v>10</v>
      </c>
      <c r="Y8" s="22">
        <v>38</v>
      </c>
      <c r="Z8" s="22">
        <v>0</v>
      </c>
      <c r="AA8" s="22">
        <f t="shared" ref="AA8:AA38" si="3">SUM(X8:Z8)</f>
        <v>48</v>
      </c>
      <c r="AB8" s="29">
        <f t="shared" si="0"/>
        <v>21.9</v>
      </c>
      <c r="AC8" s="30">
        <f>2302/423</f>
        <v>5.4420803782505907</v>
      </c>
      <c r="AD8" s="22">
        <v>57</v>
      </c>
      <c r="AE8" s="29">
        <v>63</v>
      </c>
      <c r="AF8" s="25">
        <v>25</v>
      </c>
      <c r="AG8" s="23">
        <v>6</v>
      </c>
      <c r="AH8" s="23">
        <f t="shared" si="1"/>
        <v>31</v>
      </c>
      <c r="AI8" s="26"/>
    </row>
    <row r="9" spans="1:40" ht="21.95" customHeight="1" x14ac:dyDescent="0.3">
      <c r="A9" s="19">
        <v>7</v>
      </c>
      <c r="B9" s="27">
        <v>2002</v>
      </c>
      <c r="C9" s="27" t="s">
        <v>1</v>
      </c>
      <c r="D9" s="27" t="s">
        <v>2</v>
      </c>
      <c r="E9" s="27" t="s">
        <v>48</v>
      </c>
      <c r="F9" s="27">
        <v>2002</v>
      </c>
      <c r="G9" s="27" t="s">
        <v>1</v>
      </c>
      <c r="H9" s="27" t="s">
        <v>2</v>
      </c>
      <c r="I9" s="27" t="s">
        <v>48</v>
      </c>
      <c r="J9" s="22" t="s">
        <v>0</v>
      </c>
      <c r="K9" s="22">
        <v>27</v>
      </c>
      <c r="L9" s="24">
        <f>27+26+29+33+32</f>
        <v>147</v>
      </c>
      <c r="M9" s="26">
        <v>15</v>
      </c>
      <c r="N9" s="22">
        <v>10</v>
      </c>
      <c r="O9" s="24">
        <f t="shared" si="2"/>
        <v>25</v>
      </c>
      <c r="P9" s="28">
        <v>16</v>
      </c>
      <c r="Q9" s="28">
        <v>0</v>
      </c>
      <c r="R9" s="28">
        <v>0</v>
      </c>
      <c r="S9" s="28">
        <v>0</v>
      </c>
      <c r="T9" s="28">
        <v>0</v>
      </c>
      <c r="U9" s="28">
        <v>2</v>
      </c>
      <c r="V9" s="28">
        <v>6</v>
      </c>
      <c r="W9" s="28"/>
      <c r="X9" s="26">
        <v>6</v>
      </c>
      <c r="Y9" s="22">
        <v>20</v>
      </c>
      <c r="Z9" s="22">
        <v>1</v>
      </c>
      <c r="AA9" s="22">
        <f t="shared" si="3"/>
        <v>27</v>
      </c>
      <c r="AB9" s="29">
        <f t="shared" si="0"/>
        <v>24.5</v>
      </c>
      <c r="AC9" s="30">
        <f>1447/290</f>
        <v>4.9896551724137934</v>
      </c>
      <c r="AD9" s="101">
        <v>50</v>
      </c>
      <c r="AE9" s="29">
        <v>53.1</v>
      </c>
      <c r="AF9" s="25"/>
      <c r="AG9" s="23">
        <v>6</v>
      </c>
      <c r="AH9" s="23">
        <f t="shared" si="1"/>
        <v>6</v>
      </c>
      <c r="AI9" s="26"/>
      <c r="AL9" s="65"/>
      <c r="AM9" s="65"/>
      <c r="AN9" s="65"/>
    </row>
    <row r="10" spans="1:40" ht="21.95" customHeight="1" x14ac:dyDescent="0.3">
      <c r="A10" s="19">
        <v>8</v>
      </c>
      <c r="B10" s="21">
        <v>2007</v>
      </c>
      <c r="C10" s="21" t="s">
        <v>30</v>
      </c>
      <c r="D10" s="21" t="s">
        <v>31</v>
      </c>
      <c r="E10" s="21" t="s">
        <v>48</v>
      </c>
      <c r="F10" s="21">
        <v>2007</v>
      </c>
      <c r="G10" s="21" t="s">
        <v>30</v>
      </c>
      <c r="H10" s="21" t="s">
        <v>31</v>
      </c>
      <c r="I10" s="21" t="s">
        <v>49</v>
      </c>
      <c r="J10" s="20" t="s">
        <v>44</v>
      </c>
      <c r="K10" s="22">
        <v>54</v>
      </c>
      <c r="L10" s="24">
        <f>54+52+47+45+46</f>
        <v>244</v>
      </c>
      <c r="M10" s="26">
        <v>17</v>
      </c>
      <c r="N10" s="22">
        <v>20</v>
      </c>
      <c r="O10" s="24">
        <f t="shared" si="2"/>
        <v>37</v>
      </c>
      <c r="P10" s="28">
        <v>10</v>
      </c>
      <c r="Q10" s="28">
        <v>0</v>
      </c>
      <c r="R10" s="28">
        <v>0</v>
      </c>
      <c r="S10" s="28">
        <v>0</v>
      </c>
      <c r="T10" s="28">
        <v>1</v>
      </c>
      <c r="U10" s="28">
        <v>1</v>
      </c>
      <c r="V10" s="28">
        <v>25</v>
      </c>
      <c r="W10" s="28"/>
      <c r="X10" s="26">
        <v>9</v>
      </c>
      <c r="Y10" s="22">
        <v>40</v>
      </c>
      <c r="Z10" s="22">
        <v>0</v>
      </c>
      <c r="AA10" s="22">
        <f t="shared" si="3"/>
        <v>49</v>
      </c>
      <c r="AB10" s="29">
        <f t="shared" si="0"/>
        <v>27.111111111111111</v>
      </c>
      <c r="AC10" s="42">
        <f>(139+139+139+139+666)/577</f>
        <v>2.1178509532062391</v>
      </c>
      <c r="AD10" s="102">
        <v>48</v>
      </c>
      <c r="AE10" s="34">
        <v>52.1</v>
      </c>
      <c r="AF10" s="25"/>
      <c r="AG10" s="23"/>
      <c r="AH10" s="23">
        <f t="shared" si="1"/>
        <v>0</v>
      </c>
      <c r="AI10" s="100" t="s">
        <v>120</v>
      </c>
    </row>
    <row r="11" spans="1:40" ht="21.95" customHeight="1" x14ac:dyDescent="0.3">
      <c r="A11" s="19">
        <v>9</v>
      </c>
      <c r="B11" s="27">
        <v>2003</v>
      </c>
      <c r="C11" s="27" t="s">
        <v>30</v>
      </c>
      <c r="D11" s="27" t="s">
        <v>31</v>
      </c>
      <c r="E11" s="27" t="s">
        <v>89</v>
      </c>
      <c r="F11" s="27">
        <v>2003</v>
      </c>
      <c r="G11" s="27" t="s">
        <v>83</v>
      </c>
      <c r="H11" s="27" t="s">
        <v>31</v>
      </c>
      <c r="I11" s="27" t="s">
        <v>89</v>
      </c>
      <c r="J11" s="31" t="s">
        <v>91</v>
      </c>
      <c r="K11" s="22">
        <v>30</v>
      </c>
      <c r="L11" s="24">
        <f>30+35+28+38+43</f>
        <v>174</v>
      </c>
      <c r="M11" s="26">
        <v>18</v>
      </c>
      <c r="N11" s="22">
        <v>18</v>
      </c>
      <c r="O11" s="24">
        <f t="shared" si="2"/>
        <v>36</v>
      </c>
      <c r="P11" s="28">
        <v>16</v>
      </c>
      <c r="Q11" s="28">
        <v>0</v>
      </c>
      <c r="R11" s="28">
        <v>0</v>
      </c>
      <c r="S11" s="28">
        <v>0</v>
      </c>
      <c r="T11" s="28">
        <v>0</v>
      </c>
      <c r="U11" s="28">
        <v>2</v>
      </c>
      <c r="V11" s="28">
        <v>18</v>
      </c>
      <c r="W11" s="28"/>
      <c r="X11" s="26">
        <v>6</v>
      </c>
      <c r="Y11" s="22">
        <v>6</v>
      </c>
      <c r="Z11" s="22">
        <v>0</v>
      </c>
      <c r="AA11" s="22">
        <f t="shared" si="3"/>
        <v>12</v>
      </c>
      <c r="AB11" s="29">
        <f t="shared" si="0"/>
        <v>29</v>
      </c>
      <c r="AC11" s="30">
        <f>2026/319</f>
        <v>6.3510971786833856</v>
      </c>
      <c r="AD11" s="102">
        <v>51</v>
      </c>
      <c r="AE11" s="34">
        <v>37.6</v>
      </c>
      <c r="AF11" s="25">
        <v>32</v>
      </c>
      <c r="AG11" s="23">
        <v>9</v>
      </c>
      <c r="AH11" s="23">
        <f t="shared" si="1"/>
        <v>41</v>
      </c>
      <c r="AI11" s="26"/>
    </row>
    <row r="12" spans="1:40" ht="21.95" customHeight="1" x14ac:dyDescent="0.3">
      <c r="A12" s="19">
        <v>10</v>
      </c>
      <c r="B12" s="27">
        <v>2003</v>
      </c>
      <c r="C12" s="27" t="s">
        <v>4</v>
      </c>
      <c r="D12" s="27" t="s">
        <v>2</v>
      </c>
      <c r="E12" s="27" t="s">
        <v>5</v>
      </c>
      <c r="F12" s="27">
        <v>2003</v>
      </c>
      <c r="G12" s="27" t="s">
        <v>4</v>
      </c>
      <c r="H12" s="27" t="s">
        <v>2</v>
      </c>
      <c r="I12" s="27" t="s">
        <v>5</v>
      </c>
      <c r="J12" s="31" t="s">
        <v>0</v>
      </c>
      <c r="K12" s="22">
        <v>52</v>
      </c>
      <c r="L12" s="24">
        <f>55+53+51+46+64</f>
        <v>269</v>
      </c>
      <c r="M12" s="26">
        <v>36</v>
      </c>
      <c r="N12" s="22">
        <v>16</v>
      </c>
      <c r="O12" s="24">
        <f t="shared" si="2"/>
        <v>52</v>
      </c>
      <c r="P12" s="28"/>
      <c r="Q12" s="28"/>
      <c r="R12" s="28"/>
      <c r="S12" s="28"/>
      <c r="T12" s="28"/>
      <c r="U12" s="28"/>
      <c r="V12" s="28"/>
      <c r="W12" s="28"/>
      <c r="X12" s="26">
        <v>12</v>
      </c>
      <c r="Y12" s="22">
        <v>22</v>
      </c>
      <c r="Z12" s="22">
        <v>0</v>
      </c>
      <c r="AA12" s="22">
        <f t="shared" si="3"/>
        <v>34</v>
      </c>
      <c r="AB12" s="29">
        <f t="shared" si="0"/>
        <v>22.416666666666668</v>
      </c>
      <c r="AC12" s="30">
        <f>941.5/505</f>
        <v>1.8643564356435645</v>
      </c>
      <c r="AD12" s="102">
        <v>48</v>
      </c>
      <c r="AE12" s="29">
        <v>47.2</v>
      </c>
      <c r="AF12" s="25">
        <v>0</v>
      </c>
      <c r="AG12" s="23">
        <v>0</v>
      </c>
      <c r="AH12" s="23">
        <f t="shared" si="1"/>
        <v>0</v>
      </c>
      <c r="AI12" s="100" t="s">
        <v>131</v>
      </c>
    </row>
    <row r="13" spans="1:40" ht="21.95" customHeight="1" x14ac:dyDescent="0.3">
      <c r="A13" s="19">
        <v>11</v>
      </c>
      <c r="B13" s="21">
        <v>2002</v>
      </c>
      <c r="C13" s="21" t="s">
        <v>34</v>
      </c>
      <c r="D13" s="21" t="s">
        <v>31</v>
      </c>
      <c r="E13" s="21" t="s">
        <v>48</v>
      </c>
      <c r="F13" s="21">
        <v>2002</v>
      </c>
      <c r="G13" s="21" t="s">
        <v>34</v>
      </c>
      <c r="H13" s="21" t="s">
        <v>31</v>
      </c>
      <c r="I13" s="21" t="s">
        <v>49</v>
      </c>
      <c r="J13" s="22" t="s">
        <v>44</v>
      </c>
      <c r="K13" s="22">
        <v>32</v>
      </c>
      <c r="L13" s="24">
        <f>32+27+32+29+34</f>
        <v>154</v>
      </c>
      <c r="M13" s="26">
        <v>12</v>
      </c>
      <c r="N13" s="22">
        <v>22</v>
      </c>
      <c r="O13" s="24">
        <f t="shared" si="2"/>
        <v>34</v>
      </c>
      <c r="P13" s="28">
        <v>24</v>
      </c>
      <c r="Q13" s="28">
        <v>0</v>
      </c>
      <c r="R13" s="28">
        <v>0</v>
      </c>
      <c r="S13" s="28">
        <v>3</v>
      </c>
      <c r="T13" s="28">
        <v>0</v>
      </c>
      <c r="U13" s="28">
        <v>2</v>
      </c>
      <c r="V13" s="28">
        <v>5</v>
      </c>
      <c r="W13" s="28"/>
      <c r="X13" s="26">
        <v>8</v>
      </c>
      <c r="Y13" s="22">
        <v>21</v>
      </c>
      <c r="Z13" s="22">
        <v>1</v>
      </c>
      <c r="AA13" s="22">
        <f t="shared" si="3"/>
        <v>30</v>
      </c>
      <c r="AB13" s="29">
        <f t="shared" si="0"/>
        <v>19.25</v>
      </c>
      <c r="AC13" s="30">
        <v>3.9</v>
      </c>
      <c r="AD13" s="103">
        <v>54</v>
      </c>
      <c r="AE13" s="34">
        <v>65.8</v>
      </c>
      <c r="AF13" s="25">
        <v>20</v>
      </c>
      <c r="AG13" s="23">
        <v>5</v>
      </c>
      <c r="AH13" s="23">
        <f t="shared" si="1"/>
        <v>25</v>
      </c>
      <c r="AI13" s="26"/>
      <c r="AL13" s="65"/>
      <c r="AM13" s="65"/>
      <c r="AN13" s="65"/>
    </row>
    <row r="14" spans="1:40" ht="21.95" customHeight="1" x14ac:dyDescent="0.3">
      <c r="A14" s="19">
        <v>12</v>
      </c>
      <c r="B14" s="27">
        <v>2003</v>
      </c>
      <c r="C14" s="27" t="s">
        <v>30</v>
      </c>
      <c r="D14" s="27" t="s">
        <v>31</v>
      </c>
      <c r="E14" s="27" t="s">
        <v>48</v>
      </c>
      <c r="F14" s="27">
        <v>2003</v>
      </c>
      <c r="G14" s="27" t="s">
        <v>30</v>
      </c>
      <c r="H14" s="27" t="s">
        <v>31</v>
      </c>
      <c r="I14" s="27" t="s">
        <v>49</v>
      </c>
      <c r="J14" s="31" t="s">
        <v>44</v>
      </c>
      <c r="K14" s="22">
        <v>31</v>
      </c>
      <c r="L14" s="24">
        <f>28+25+35+30+24</f>
        <v>142</v>
      </c>
      <c r="M14" s="26">
        <v>10</v>
      </c>
      <c r="N14" s="22">
        <v>12</v>
      </c>
      <c r="O14" s="24">
        <f t="shared" si="2"/>
        <v>22</v>
      </c>
      <c r="P14" s="28">
        <v>3</v>
      </c>
      <c r="Q14" s="28">
        <v>0</v>
      </c>
      <c r="R14" s="28">
        <v>0</v>
      </c>
      <c r="S14" s="28">
        <v>0</v>
      </c>
      <c r="T14" s="28">
        <v>0</v>
      </c>
      <c r="U14" s="28">
        <v>1</v>
      </c>
      <c r="V14" s="28">
        <v>4</v>
      </c>
      <c r="W14" s="28"/>
      <c r="X14" s="26">
        <v>6</v>
      </c>
      <c r="Y14" s="22">
        <v>16</v>
      </c>
      <c r="Z14" s="22">
        <v>0</v>
      </c>
      <c r="AA14" s="22">
        <f t="shared" si="3"/>
        <v>22</v>
      </c>
      <c r="AB14" s="29">
        <f t="shared" si="0"/>
        <v>23.666666666666668</v>
      </c>
      <c r="AC14" s="30">
        <f>628/292</f>
        <v>2.1506849315068495</v>
      </c>
      <c r="AD14" s="102">
        <v>57</v>
      </c>
      <c r="AE14" s="34">
        <v>69</v>
      </c>
      <c r="AF14" s="25">
        <v>0</v>
      </c>
      <c r="AG14" s="23">
        <v>0</v>
      </c>
      <c r="AH14" s="23">
        <f t="shared" si="1"/>
        <v>0</v>
      </c>
      <c r="AI14" s="26"/>
    </row>
    <row r="15" spans="1:40" ht="21.95" customHeight="1" x14ac:dyDescent="0.3">
      <c r="A15" s="19">
        <v>13</v>
      </c>
      <c r="B15" s="21">
        <v>2002</v>
      </c>
      <c r="C15" s="21" t="s">
        <v>4</v>
      </c>
      <c r="D15" s="21" t="s">
        <v>6</v>
      </c>
      <c r="E15" s="21" t="s">
        <v>50</v>
      </c>
      <c r="F15" s="21">
        <v>2002</v>
      </c>
      <c r="G15" s="21" t="s">
        <v>4</v>
      </c>
      <c r="H15" s="21" t="s">
        <v>6</v>
      </c>
      <c r="I15" s="21" t="s">
        <v>50</v>
      </c>
      <c r="J15" s="20" t="s">
        <v>47</v>
      </c>
      <c r="K15" s="22">
        <v>65</v>
      </c>
      <c r="L15" s="24">
        <f>68+59+65+59+78</f>
        <v>329</v>
      </c>
      <c r="M15" s="26">
        <v>38</v>
      </c>
      <c r="N15" s="22">
        <v>31</v>
      </c>
      <c r="O15" s="24">
        <f t="shared" si="2"/>
        <v>69</v>
      </c>
      <c r="P15" s="28">
        <v>39</v>
      </c>
      <c r="Q15" s="28">
        <v>4</v>
      </c>
      <c r="R15" s="28">
        <v>0</v>
      </c>
      <c r="S15" s="28">
        <v>2</v>
      </c>
      <c r="T15" s="28">
        <v>0</v>
      </c>
      <c r="U15" s="28">
        <v>3</v>
      </c>
      <c r="V15" s="28">
        <v>21</v>
      </c>
      <c r="W15" s="28"/>
      <c r="X15" s="26">
        <v>11</v>
      </c>
      <c r="Y15" s="22">
        <v>33</v>
      </c>
      <c r="Z15" s="22">
        <v>0</v>
      </c>
      <c r="AA15" s="22">
        <f t="shared" si="3"/>
        <v>44</v>
      </c>
      <c r="AB15" s="29">
        <f t="shared" si="0"/>
        <v>29.90909090909091</v>
      </c>
      <c r="AC15" s="30">
        <v>3.1</v>
      </c>
      <c r="AD15" s="102">
        <v>50</v>
      </c>
      <c r="AE15" s="29">
        <v>50.8</v>
      </c>
      <c r="AF15" s="25">
        <v>63</v>
      </c>
      <c r="AG15" s="23">
        <v>5</v>
      </c>
      <c r="AH15" s="23">
        <f t="shared" si="1"/>
        <v>68</v>
      </c>
      <c r="AI15" s="26"/>
    </row>
    <row r="16" spans="1:40" ht="21.95" customHeight="1" x14ac:dyDescent="0.3">
      <c r="A16" s="19">
        <v>14</v>
      </c>
      <c r="B16" s="21">
        <v>2003</v>
      </c>
      <c r="C16" s="21" t="s">
        <v>34</v>
      </c>
      <c r="D16" s="21" t="s">
        <v>31</v>
      </c>
      <c r="E16" s="21" t="s">
        <v>33</v>
      </c>
      <c r="F16" s="21">
        <v>2003</v>
      </c>
      <c r="G16" s="21" t="s">
        <v>75</v>
      </c>
      <c r="H16" s="21" t="s">
        <v>72</v>
      </c>
      <c r="I16" s="21" t="s">
        <v>73</v>
      </c>
      <c r="J16" s="20" t="s">
        <v>74</v>
      </c>
      <c r="K16" s="22">
        <v>25</v>
      </c>
      <c r="L16" s="24">
        <f>50+22+20+26+36</f>
        <v>154</v>
      </c>
      <c r="M16" s="26">
        <v>11</v>
      </c>
      <c r="N16" s="22">
        <v>11</v>
      </c>
      <c r="O16" s="24">
        <f t="shared" si="2"/>
        <v>22</v>
      </c>
      <c r="P16" s="28">
        <v>7</v>
      </c>
      <c r="Q16" s="28">
        <v>3</v>
      </c>
      <c r="R16" s="28">
        <v>0</v>
      </c>
      <c r="S16" s="28">
        <v>0</v>
      </c>
      <c r="T16" s="28">
        <v>0</v>
      </c>
      <c r="U16" s="28">
        <v>0</v>
      </c>
      <c r="V16" s="28">
        <v>12</v>
      </c>
      <c r="W16" s="28"/>
      <c r="X16" s="26">
        <v>7</v>
      </c>
      <c r="Y16" s="22">
        <v>8</v>
      </c>
      <c r="Z16" s="22">
        <v>0</v>
      </c>
      <c r="AA16" s="22">
        <f t="shared" si="3"/>
        <v>15</v>
      </c>
      <c r="AB16" s="29">
        <f t="shared" si="0"/>
        <v>22</v>
      </c>
      <c r="AC16" s="30">
        <f>1030/319</f>
        <v>3.2288401253918497</v>
      </c>
      <c r="AD16" s="102">
        <v>54</v>
      </c>
      <c r="AE16" s="29">
        <v>48.2</v>
      </c>
      <c r="AF16" s="25">
        <v>15</v>
      </c>
      <c r="AG16" s="23">
        <v>9</v>
      </c>
      <c r="AH16" s="23">
        <f t="shared" si="1"/>
        <v>24</v>
      </c>
      <c r="AI16" s="26"/>
    </row>
    <row r="17" spans="1:40" ht="21.95" customHeight="1" x14ac:dyDescent="0.3">
      <c r="A17" s="19">
        <v>15</v>
      </c>
      <c r="B17" s="27">
        <v>2008</v>
      </c>
      <c r="C17" s="27" t="s">
        <v>30</v>
      </c>
      <c r="D17" s="27" t="s">
        <v>31</v>
      </c>
      <c r="E17" s="27" t="s">
        <v>48</v>
      </c>
      <c r="F17" s="27">
        <v>2008</v>
      </c>
      <c r="G17" s="27" t="s">
        <v>30</v>
      </c>
      <c r="H17" s="27" t="s">
        <v>84</v>
      </c>
      <c r="I17" s="27" t="s">
        <v>88</v>
      </c>
      <c r="J17" s="31" t="s">
        <v>90</v>
      </c>
      <c r="K17" s="22">
        <v>45</v>
      </c>
      <c r="L17" s="24">
        <f>52+39+43+39+51</f>
        <v>224</v>
      </c>
      <c r="M17" s="26">
        <v>22</v>
      </c>
      <c r="N17" s="22">
        <v>13</v>
      </c>
      <c r="O17" s="24">
        <f t="shared" si="2"/>
        <v>35</v>
      </c>
      <c r="P17" s="28">
        <v>22</v>
      </c>
      <c r="Q17" s="28">
        <v>2</v>
      </c>
      <c r="R17" s="28">
        <v>0</v>
      </c>
      <c r="S17" s="28">
        <v>0</v>
      </c>
      <c r="T17" s="28">
        <v>0</v>
      </c>
      <c r="U17" s="28">
        <v>2</v>
      </c>
      <c r="V17" s="28">
        <v>1</v>
      </c>
      <c r="W17" s="28"/>
      <c r="X17" s="26">
        <v>7</v>
      </c>
      <c r="Y17" s="22">
        <v>28</v>
      </c>
      <c r="Z17" s="22">
        <v>0</v>
      </c>
      <c r="AA17" s="22">
        <f t="shared" si="3"/>
        <v>35</v>
      </c>
      <c r="AB17" s="29">
        <f t="shared" si="0"/>
        <v>32</v>
      </c>
      <c r="AC17" s="30">
        <f>3895.6/445</f>
        <v>8.7541573033707856</v>
      </c>
      <c r="AD17" s="22">
        <v>60</v>
      </c>
      <c r="AE17" s="34">
        <v>92.8</v>
      </c>
      <c r="AF17" s="25">
        <v>9</v>
      </c>
      <c r="AG17" s="23">
        <v>9</v>
      </c>
      <c r="AH17" s="23">
        <f t="shared" si="1"/>
        <v>18</v>
      </c>
      <c r="AI17" s="26"/>
    </row>
    <row r="18" spans="1:40" ht="21.95" customHeight="1" x14ac:dyDescent="0.3">
      <c r="A18" s="19">
        <v>16</v>
      </c>
      <c r="B18" s="32">
        <v>2002</v>
      </c>
      <c r="C18" s="32" t="s">
        <v>4</v>
      </c>
      <c r="D18" s="32" t="s">
        <v>6</v>
      </c>
      <c r="E18" s="32" t="s">
        <v>3</v>
      </c>
      <c r="F18" s="32">
        <v>2002</v>
      </c>
      <c r="G18" s="32" t="s">
        <v>4</v>
      </c>
      <c r="H18" s="32" t="s">
        <v>6</v>
      </c>
      <c r="I18" s="32" t="s">
        <v>3</v>
      </c>
      <c r="J18" s="20" t="s">
        <v>0</v>
      </c>
      <c r="K18" s="22">
        <v>50</v>
      </c>
      <c r="L18" s="24">
        <f>55+54+48+45+43</f>
        <v>245</v>
      </c>
      <c r="M18" s="26">
        <v>20</v>
      </c>
      <c r="N18" s="22">
        <v>21</v>
      </c>
      <c r="O18" s="24">
        <f t="shared" si="2"/>
        <v>41</v>
      </c>
      <c r="P18" s="28"/>
      <c r="Q18" s="28"/>
      <c r="R18" s="28"/>
      <c r="S18" s="28"/>
      <c r="T18" s="28"/>
      <c r="U18" s="28"/>
      <c r="V18" s="28"/>
      <c r="W18" s="28"/>
      <c r="X18" s="26">
        <v>10</v>
      </c>
      <c r="Y18" s="22">
        <v>3</v>
      </c>
      <c r="Z18" s="22">
        <v>0</v>
      </c>
      <c r="AA18" s="22">
        <f t="shared" si="3"/>
        <v>13</v>
      </c>
      <c r="AB18" s="29">
        <f t="shared" si="0"/>
        <v>24.5</v>
      </c>
      <c r="AC18" s="30">
        <f>2639/498</f>
        <v>5.2991967871485945</v>
      </c>
      <c r="AD18" s="22">
        <v>54</v>
      </c>
      <c r="AE18" s="24">
        <v>69.8</v>
      </c>
      <c r="AF18" s="25">
        <v>73</v>
      </c>
      <c r="AG18" s="23">
        <v>1</v>
      </c>
      <c r="AH18" s="23">
        <f t="shared" si="1"/>
        <v>74</v>
      </c>
      <c r="AI18" s="100" t="s">
        <v>121</v>
      </c>
    </row>
    <row r="19" spans="1:40" ht="21.95" customHeight="1" x14ac:dyDescent="0.3">
      <c r="A19" s="19">
        <v>17</v>
      </c>
      <c r="B19" s="21">
        <v>2005</v>
      </c>
      <c r="C19" s="21" t="s">
        <v>30</v>
      </c>
      <c r="D19" s="21" t="s">
        <v>31</v>
      </c>
      <c r="E19" s="21" t="s">
        <v>33</v>
      </c>
      <c r="F19" s="21">
        <v>2005</v>
      </c>
      <c r="G19" s="21" t="s">
        <v>30</v>
      </c>
      <c r="H19" s="21" t="s">
        <v>31</v>
      </c>
      <c r="I19" s="21" t="s">
        <v>33</v>
      </c>
      <c r="J19" s="20" t="s">
        <v>26</v>
      </c>
      <c r="K19" s="22">
        <v>35</v>
      </c>
      <c r="L19" s="24">
        <f>40+29+30+31+36</f>
        <v>166</v>
      </c>
      <c r="M19" s="26">
        <v>9</v>
      </c>
      <c r="N19" s="22">
        <v>17</v>
      </c>
      <c r="O19" s="24">
        <f t="shared" si="2"/>
        <v>26</v>
      </c>
      <c r="P19" s="28">
        <v>9</v>
      </c>
      <c r="Q19" s="28">
        <v>0</v>
      </c>
      <c r="R19" s="28">
        <v>0</v>
      </c>
      <c r="S19" s="28">
        <v>0</v>
      </c>
      <c r="T19" s="28">
        <v>0</v>
      </c>
      <c r="U19" s="28">
        <v>1</v>
      </c>
      <c r="V19" s="28">
        <v>16</v>
      </c>
      <c r="W19" s="28"/>
      <c r="X19" s="26">
        <v>6</v>
      </c>
      <c r="Y19" s="22">
        <v>16</v>
      </c>
      <c r="Z19" s="22">
        <v>0</v>
      </c>
      <c r="AA19" s="22">
        <f t="shared" si="3"/>
        <v>22</v>
      </c>
      <c r="AB19" s="29">
        <f t="shared" si="0"/>
        <v>27.666666666666668</v>
      </c>
      <c r="AC19" s="30">
        <f>1622.8/256</f>
        <v>6.3390624999999998</v>
      </c>
      <c r="AD19" s="22">
        <v>51</v>
      </c>
      <c r="AE19" s="34">
        <v>54.9</v>
      </c>
      <c r="AF19" s="25">
        <v>11</v>
      </c>
      <c r="AG19" s="23">
        <v>5</v>
      </c>
      <c r="AH19" s="23">
        <f t="shared" si="1"/>
        <v>16</v>
      </c>
      <c r="AI19" s="100" t="s">
        <v>131</v>
      </c>
    </row>
    <row r="20" spans="1:40" ht="21.95" customHeight="1" x14ac:dyDescent="0.3">
      <c r="A20" s="19">
        <v>18</v>
      </c>
      <c r="B20" s="27">
        <v>2011</v>
      </c>
      <c r="C20" s="27" t="s">
        <v>30</v>
      </c>
      <c r="D20" s="27" t="s">
        <v>31</v>
      </c>
      <c r="E20" s="27" t="s">
        <v>45</v>
      </c>
      <c r="F20" s="27">
        <v>2011</v>
      </c>
      <c r="G20" s="27" t="s">
        <v>30</v>
      </c>
      <c r="H20" s="27" t="s">
        <v>31</v>
      </c>
      <c r="I20" s="27" t="s">
        <v>85</v>
      </c>
      <c r="J20" s="31" t="s">
        <v>90</v>
      </c>
      <c r="K20" s="22"/>
      <c r="L20" s="24">
        <f>2+9+5+7+1</f>
        <v>24</v>
      </c>
      <c r="M20" s="26">
        <v>11</v>
      </c>
      <c r="N20" s="22">
        <v>14</v>
      </c>
      <c r="O20" s="24">
        <f t="shared" si="2"/>
        <v>25</v>
      </c>
      <c r="P20" s="28">
        <v>4</v>
      </c>
      <c r="Q20" s="28">
        <v>0</v>
      </c>
      <c r="R20" s="28">
        <v>1</v>
      </c>
      <c r="S20" s="28">
        <v>0</v>
      </c>
      <c r="T20" s="28">
        <v>0</v>
      </c>
      <c r="U20" s="28">
        <v>11</v>
      </c>
      <c r="V20" s="28">
        <v>9</v>
      </c>
      <c r="W20" s="28"/>
      <c r="X20" s="26">
        <v>6</v>
      </c>
      <c r="Y20" s="22">
        <v>17</v>
      </c>
      <c r="Z20" s="22">
        <v>0</v>
      </c>
      <c r="AA20" s="22">
        <f t="shared" si="3"/>
        <v>23</v>
      </c>
      <c r="AB20" s="29">
        <f t="shared" si="0"/>
        <v>4</v>
      </c>
      <c r="AC20" s="30">
        <v>4.0968992248062017</v>
      </c>
      <c r="AD20" s="22">
        <v>21</v>
      </c>
      <c r="AE20" s="34">
        <v>39.717142857142854</v>
      </c>
      <c r="AF20" s="25">
        <v>0</v>
      </c>
      <c r="AG20" s="23">
        <v>12</v>
      </c>
      <c r="AH20" s="23">
        <f t="shared" si="1"/>
        <v>12</v>
      </c>
      <c r="AI20" s="26"/>
    </row>
    <row r="21" spans="1:40" ht="21.95" customHeight="1" x14ac:dyDescent="0.3">
      <c r="A21" s="19">
        <v>19</v>
      </c>
      <c r="B21" s="27">
        <v>2012</v>
      </c>
      <c r="C21" s="27" t="s">
        <v>30</v>
      </c>
      <c r="D21" s="27" t="s">
        <v>87</v>
      </c>
      <c r="E21" s="27" t="s">
        <v>48</v>
      </c>
      <c r="F21" s="27">
        <v>2012</v>
      </c>
      <c r="G21" s="27" t="s">
        <v>83</v>
      </c>
      <c r="H21" s="27" t="s">
        <v>87</v>
      </c>
      <c r="I21" s="27" t="s">
        <v>88</v>
      </c>
      <c r="J21" s="31" t="s">
        <v>90</v>
      </c>
      <c r="K21" s="22">
        <v>50</v>
      </c>
      <c r="L21" s="24">
        <f>50+62+45+63+39</f>
        <v>259</v>
      </c>
      <c r="M21" s="26">
        <v>21</v>
      </c>
      <c r="N21" s="22">
        <v>19</v>
      </c>
      <c r="O21" s="24">
        <f>SUM(M21:N21)</f>
        <v>40</v>
      </c>
      <c r="P21" s="28">
        <v>38</v>
      </c>
      <c r="Q21" s="28">
        <v>1</v>
      </c>
      <c r="R21" s="28">
        <v>0</v>
      </c>
      <c r="S21" s="28">
        <v>0</v>
      </c>
      <c r="T21" s="28">
        <v>0</v>
      </c>
      <c r="U21" s="28">
        <v>0</v>
      </c>
      <c r="V21" s="28">
        <v>1</v>
      </c>
      <c r="W21" s="28"/>
      <c r="X21" s="26">
        <v>7</v>
      </c>
      <c r="Y21" s="22">
        <v>14</v>
      </c>
      <c r="Z21" s="22">
        <v>0</v>
      </c>
      <c r="AA21" s="22">
        <f t="shared" si="3"/>
        <v>21</v>
      </c>
      <c r="AB21" s="29">
        <f t="shared" si="0"/>
        <v>37</v>
      </c>
      <c r="AC21" s="30">
        <v>2.2915717539863327</v>
      </c>
      <c r="AD21" s="22">
        <v>51</v>
      </c>
      <c r="AE21" s="34">
        <v>43.6</v>
      </c>
      <c r="AF21" s="25">
        <v>23</v>
      </c>
      <c r="AG21" s="23">
        <v>7</v>
      </c>
      <c r="AH21" s="23">
        <f t="shared" si="1"/>
        <v>30</v>
      </c>
      <c r="AI21" s="26"/>
    </row>
    <row r="22" spans="1:40" ht="21.95" customHeight="1" x14ac:dyDescent="0.3">
      <c r="A22" s="33">
        <v>20</v>
      </c>
      <c r="B22" s="27">
        <v>2004</v>
      </c>
      <c r="C22" s="27" t="s">
        <v>30</v>
      </c>
      <c r="D22" s="27" t="s">
        <v>31</v>
      </c>
      <c r="E22" s="27" t="s">
        <v>112</v>
      </c>
      <c r="F22" s="27">
        <v>2004</v>
      </c>
      <c r="G22" s="27" t="s">
        <v>30</v>
      </c>
      <c r="H22" s="27" t="s">
        <v>31</v>
      </c>
      <c r="I22" s="27" t="s">
        <v>112</v>
      </c>
      <c r="J22" s="22" t="s">
        <v>26</v>
      </c>
      <c r="K22" s="22">
        <v>40</v>
      </c>
      <c r="L22" s="24">
        <f>38+51+47+35+37</f>
        <v>208</v>
      </c>
      <c r="M22" s="26">
        <v>7</v>
      </c>
      <c r="N22" s="22">
        <v>19</v>
      </c>
      <c r="O22" s="24">
        <f t="shared" si="2"/>
        <v>26</v>
      </c>
      <c r="P22" s="28">
        <v>20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4</v>
      </c>
      <c r="W22" s="28"/>
      <c r="X22" s="26">
        <v>5</v>
      </c>
      <c r="Y22" s="22">
        <v>5</v>
      </c>
      <c r="Z22" s="22">
        <v>0</v>
      </c>
      <c r="AA22" s="22">
        <f t="shared" si="3"/>
        <v>10</v>
      </c>
      <c r="AB22" s="29">
        <f t="shared" si="0"/>
        <v>41.6</v>
      </c>
      <c r="AC22" s="30">
        <v>3.6706443914081146</v>
      </c>
      <c r="AD22" s="22">
        <v>51</v>
      </c>
      <c r="AE22" s="34">
        <v>46.5</v>
      </c>
      <c r="AF22" s="25">
        <v>2</v>
      </c>
      <c r="AG22" s="23">
        <v>2</v>
      </c>
      <c r="AH22" s="23">
        <f t="shared" si="1"/>
        <v>4</v>
      </c>
      <c r="AI22" s="26"/>
    </row>
    <row r="23" spans="1:40" ht="21.95" customHeight="1" x14ac:dyDescent="0.3">
      <c r="A23" s="19">
        <v>21</v>
      </c>
      <c r="B23" s="21">
        <v>2002</v>
      </c>
      <c r="C23" s="21" t="s">
        <v>4</v>
      </c>
      <c r="D23" s="21" t="s">
        <v>51</v>
      </c>
      <c r="E23" s="21" t="s">
        <v>48</v>
      </c>
      <c r="F23" s="21">
        <v>2002</v>
      </c>
      <c r="G23" s="21" t="s">
        <v>4</v>
      </c>
      <c r="H23" s="21" t="s">
        <v>51</v>
      </c>
      <c r="I23" s="21" t="s">
        <v>48</v>
      </c>
      <c r="J23" s="20" t="s">
        <v>0</v>
      </c>
      <c r="K23" s="22">
        <v>55</v>
      </c>
      <c r="L23" s="24">
        <f>55+52+64+52+33</f>
        <v>256</v>
      </c>
      <c r="M23" s="26">
        <v>16</v>
      </c>
      <c r="N23" s="22">
        <v>15</v>
      </c>
      <c r="O23" s="24">
        <f t="shared" si="2"/>
        <v>31</v>
      </c>
      <c r="P23" s="28"/>
      <c r="Q23" s="28"/>
      <c r="R23" s="28"/>
      <c r="S23" s="28"/>
      <c r="T23" s="28"/>
      <c r="U23" s="28"/>
      <c r="V23" s="28"/>
      <c r="W23" s="28"/>
      <c r="X23" s="26">
        <v>9</v>
      </c>
      <c r="Y23" s="22">
        <v>2</v>
      </c>
      <c r="Z23" s="22">
        <v>0</v>
      </c>
      <c r="AA23" s="22">
        <f t="shared" si="3"/>
        <v>11</v>
      </c>
      <c r="AB23" s="29">
        <f t="shared" si="0"/>
        <v>28.444444444444443</v>
      </c>
      <c r="AC23" s="30">
        <v>10.042276422764228</v>
      </c>
      <c r="AD23" s="20">
        <v>63</v>
      </c>
      <c r="AE23" s="29">
        <v>47.6</v>
      </c>
      <c r="AF23" s="25">
        <v>24</v>
      </c>
      <c r="AG23" s="23">
        <v>7</v>
      </c>
      <c r="AH23" s="23">
        <f t="shared" si="1"/>
        <v>31</v>
      </c>
      <c r="AI23" s="100" t="s">
        <v>132</v>
      </c>
    </row>
    <row r="24" spans="1:40" ht="21.95" customHeight="1" x14ac:dyDescent="0.3">
      <c r="A24" s="19">
        <v>22</v>
      </c>
      <c r="B24" s="21">
        <v>2002</v>
      </c>
      <c r="C24" s="21" t="s">
        <v>30</v>
      </c>
      <c r="D24" s="21" t="s">
        <v>31</v>
      </c>
      <c r="E24" s="21" t="s">
        <v>53</v>
      </c>
      <c r="F24" s="21">
        <v>2002</v>
      </c>
      <c r="G24" s="21" t="s">
        <v>30</v>
      </c>
      <c r="H24" s="21" t="s">
        <v>31</v>
      </c>
      <c r="I24" s="21" t="s">
        <v>53</v>
      </c>
      <c r="J24" s="20" t="s">
        <v>26</v>
      </c>
      <c r="K24" s="22">
        <v>40</v>
      </c>
      <c r="L24" s="24">
        <f>177+52+51+49+48</f>
        <v>377</v>
      </c>
      <c r="M24" s="26">
        <v>13</v>
      </c>
      <c r="N24" s="22">
        <v>8</v>
      </c>
      <c r="O24" s="24">
        <f t="shared" si="2"/>
        <v>21</v>
      </c>
      <c r="P24" s="28">
        <v>31</v>
      </c>
      <c r="Q24" s="28">
        <v>0</v>
      </c>
      <c r="R24" s="28">
        <v>0</v>
      </c>
      <c r="S24" s="28">
        <v>0</v>
      </c>
      <c r="T24" s="28">
        <v>1</v>
      </c>
      <c r="U24" s="28">
        <v>1</v>
      </c>
      <c r="V24" s="28">
        <v>8</v>
      </c>
      <c r="W24" s="28"/>
      <c r="X24" s="26">
        <v>7</v>
      </c>
      <c r="Y24" s="22">
        <v>14</v>
      </c>
      <c r="Z24" s="22">
        <v>0</v>
      </c>
      <c r="AA24" s="22">
        <f t="shared" si="3"/>
        <v>21</v>
      </c>
      <c r="AB24" s="29">
        <f t="shared" si="0"/>
        <v>53.857142857142854</v>
      </c>
      <c r="AC24" s="30">
        <v>3.8183892617449664</v>
      </c>
      <c r="AD24" s="22">
        <v>51</v>
      </c>
      <c r="AE24" s="34">
        <v>58.44</v>
      </c>
      <c r="AF24" s="25"/>
      <c r="AG24" s="23"/>
      <c r="AH24" s="23">
        <f t="shared" si="1"/>
        <v>0</v>
      </c>
      <c r="AI24" s="100" t="s">
        <v>120</v>
      </c>
    </row>
    <row r="25" spans="1:40" ht="21.95" customHeight="1" x14ac:dyDescent="0.3">
      <c r="A25" s="19">
        <v>23</v>
      </c>
      <c r="B25" s="27" t="s">
        <v>45</v>
      </c>
      <c r="C25" s="27" t="s">
        <v>30</v>
      </c>
      <c r="D25" s="21" t="s">
        <v>6</v>
      </c>
      <c r="E25" s="27" t="s">
        <v>117</v>
      </c>
      <c r="F25" s="27" t="s">
        <v>103</v>
      </c>
      <c r="G25" s="27" t="s">
        <v>83</v>
      </c>
      <c r="H25" s="21" t="s">
        <v>6</v>
      </c>
      <c r="I25" s="27" t="s">
        <v>117</v>
      </c>
      <c r="J25" s="31" t="s">
        <v>91</v>
      </c>
      <c r="K25" s="22">
        <v>77</v>
      </c>
      <c r="L25" s="24">
        <f>31+15+19+10+15</f>
        <v>90</v>
      </c>
      <c r="M25" s="26">
        <v>7</v>
      </c>
      <c r="N25" s="22">
        <v>2</v>
      </c>
      <c r="O25" s="24">
        <f t="shared" si="2"/>
        <v>9</v>
      </c>
      <c r="P25" s="28">
        <v>5</v>
      </c>
      <c r="Q25" s="28">
        <v>0</v>
      </c>
      <c r="R25" s="28">
        <v>0</v>
      </c>
      <c r="S25" s="28">
        <v>1</v>
      </c>
      <c r="T25" s="28">
        <v>0</v>
      </c>
      <c r="U25" s="28">
        <v>1</v>
      </c>
      <c r="V25" s="28">
        <v>2</v>
      </c>
      <c r="W25" s="28"/>
      <c r="X25" s="26"/>
      <c r="Y25" s="22"/>
      <c r="Z25" s="22">
        <v>0</v>
      </c>
      <c r="AA25" s="22">
        <f t="shared" si="3"/>
        <v>0</v>
      </c>
      <c r="AB25" s="29" t="e">
        <f t="shared" si="0"/>
        <v>#DIV/0!</v>
      </c>
      <c r="AC25" s="30">
        <v>5.035211267605634</v>
      </c>
      <c r="AD25" s="22">
        <v>51</v>
      </c>
      <c r="AE25" s="34">
        <v>46.3</v>
      </c>
      <c r="AF25" s="25">
        <v>12</v>
      </c>
      <c r="AG25" s="23">
        <v>2</v>
      </c>
      <c r="AH25" s="23">
        <f t="shared" si="1"/>
        <v>14</v>
      </c>
      <c r="AI25" s="26"/>
    </row>
    <row r="26" spans="1:40" ht="21.95" customHeight="1" x14ac:dyDescent="0.3">
      <c r="A26" s="19">
        <v>24</v>
      </c>
      <c r="B26" s="21">
        <v>2002</v>
      </c>
      <c r="C26" s="21" t="s">
        <v>4</v>
      </c>
      <c r="D26" s="21" t="s">
        <v>6</v>
      </c>
      <c r="E26" s="21" t="s">
        <v>117</v>
      </c>
      <c r="F26" s="21">
        <v>2002</v>
      </c>
      <c r="G26" s="21" t="s">
        <v>4</v>
      </c>
      <c r="H26" s="21" t="s">
        <v>6</v>
      </c>
      <c r="I26" s="21" t="s">
        <v>117</v>
      </c>
      <c r="J26" s="20" t="s">
        <v>26</v>
      </c>
      <c r="K26" s="22">
        <v>77</v>
      </c>
      <c r="L26" s="24">
        <f>55+49+60+67+74</f>
        <v>305</v>
      </c>
      <c r="M26" s="26">
        <v>35</v>
      </c>
      <c r="N26" s="22">
        <v>23</v>
      </c>
      <c r="O26" s="24">
        <f t="shared" si="2"/>
        <v>58</v>
      </c>
      <c r="P26" s="28">
        <v>31</v>
      </c>
      <c r="Q26" s="28">
        <v>3</v>
      </c>
      <c r="R26" s="28">
        <v>1</v>
      </c>
      <c r="S26" s="28">
        <v>0</v>
      </c>
      <c r="T26" s="28">
        <v>0</v>
      </c>
      <c r="U26" s="28">
        <v>0</v>
      </c>
      <c r="V26" s="28">
        <v>23</v>
      </c>
      <c r="W26" s="28"/>
      <c r="X26" s="26">
        <v>22</v>
      </c>
      <c r="Y26" s="22">
        <v>42</v>
      </c>
      <c r="Z26" s="22">
        <v>0</v>
      </c>
      <c r="AA26" s="22">
        <f t="shared" si="3"/>
        <v>64</v>
      </c>
      <c r="AB26" s="29">
        <f t="shared" si="0"/>
        <v>13.863636363636363</v>
      </c>
      <c r="AC26" s="30">
        <v>5.035211267605634</v>
      </c>
      <c r="AD26" s="22">
        <v>51</v>
      </c>
      <c r="AE26" s="34">
        <v>46.3</v>
      </c>
      <c r="AF26" s="25">
        <v>88</v>
      </c>
      <c r="AG26" s="23">
        <v>8</v>
      </c>
      <c r="AH26" s="23">
        <f t="shared" si="1"/>
        <v>96</v>
      </c>
      <c r="AI26" s="26"/>
    </row>
    <row r="27" spans="1:40" ht="21.95" customHeight="1" x14ac:dyDescent="0.3">
      <c r="A27" s="19">
        <v>25</v>
      </c>
      <c r="B27" s="21">
        <v>2002</v>
      </c>
      <c r="C27" s="21" t="s">
        <v>1</v>
      </c>
      <c r="D27" s="21" t="s">
        <v>2</v>
      </c>
      <c r="E27" s="21" t="s">
        <v>48</v>
      </c>
      <c r="F27" s="21">
        <v>2002</v>
      </c>
      <c r="G27" s="21" t="s">
        <v>1</v>
      </c>
      <c r="H27" s="21" t="s">
        <v>2</v>
      </c>
      <c r="I27" s="21" t="s">
        <v>48</v>
      </c>
      <c r="J27" s="20" t="s">
        <v>0</v>
      </c>
      <c r="K27" s="22">
        <v>28</v>
      </c>
      <c r="L27" s="24">
        <f>28+23+26+29+22</f>
        <v>128</v>
      </c>
      <c r="M27" s="26">
        <v>14</v>
      </c>
      <c r="N27" s="22">
        <v>8</v>
      </c>
      <c r="O27" s="24">
        <f t="shared" si="2"/>
        <v>22</v>
      </c>
      <c r="P27" s="28">
        <v>20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2</v>
      </c>
      <c r="W27" s="28"/>
      <c r="X27" s="26">
        <v>9</v>
      </c>
      <c r="Y27" s="22">
        <v>10</v>
      </c>
      <c r="Z27" s="22">
        <v>0</v>
      </c>
      <c r="AA27" s="22">
        <f t="shared" si="3"/>
        <v>19</v>
      </c>
      <c r="AB27" s="29">
        <f t="shared" si="0"/>
        <v>14.222222222222221</v>
      </c>
      <c r="AC27" s="30">
        <v>4</v>
      </c>
      <c r="AD27" s="20">
        <v>54</v>
      </c>
      <c r="AE27" s="29">
        <v>52.4</v>
      </c>
      <c r="AF27" s="25">
        <v>7</v>
      </c>
      <c r="AG27" s="23">
        <v>7</v>
      </c>
      <c r="AH27" s="23">
        <f t="shared" si="1"/>
        <v>14</v>
      </c>
      <c r="AI27" s="26"/>
      <c r="AL27" s="65"/>
      <c r="AM27" s="65"/>
      <c r="AN27" s="65"/>
    </row>
    <row r="28" spans="1:40" ht="21.95" customHeight="1" x14ac:dyDescent="0.3">
      <c r="A28" s="19">
        <v>26</v>
      </c>
      <c r="B28" s="21">
        <v>2002</v>
      </c>
      <c r="C28" s="21" t="s">
        <v>30</v>
      </c>
      <c r="D28" s="21" t="s">
        <v>77</v>
      </c>
      <c r="E28" s="21" t="s">
        <v>70</v>
      </c>
      <c r="F28" s="21">
        <v>2002</v>
      </c>
      <c r="G28" s="21" t="s">
        <v>76</v>
      </c>
      <c r="H28" s="21" t="s">
        <v>77</v>
      </c>
      <c r="I28" s="21" t="s">
        <v>78</v>
      </c>
      <c r="J28" s="20" t="s">
        <v>74</v>
      </c>
      <c r="K28" s="22">
        <v>33</v>
      </c>
      <c r="L28" s="24">
        <f>56+41+31+27+22</f>
        <v>177</v>
      </c>
      <c r="M28" s="26">
        <v>9</v>
      </c>
      <c r="N28" s="22">
        <v>10</v>
      </c>
      <c r="O28" s="24">
        <f t="shared" si="2"/>
        <v>19</v>
      </c>
      <c r="P28" s="28"/>
      <c r="Q28" s="28"/>
      <c r="R28" s="28"/>
      <c r="S28" s="28"/>
      <c r="T28" s="28"/>
      <c r="U28" s="28"/>
      <c r="V28" s="28"/>
      <c r="W28" s="28"/>
      <c r="X28" s="26">
        <v>5</v>
      </c>
      <c r="Y28" s="22">
        <v>21</v>
      </c>
      <c r="Z28" s="22">
        <v>0</v>
      </c>
      <c r="AA28" s="22">
        <f t="shared" si="3"/>
        <v>26</v>
      </c>
      <c r="AB28" s="29">
        <f t="shared" si="0"/>
        <v>35.4</v>
      </c>
      <c r="AC28" s="30">
        <v>4.2645614035087727</v>
      </c>
      <c r="AD28" s="20">
        <v>54</v>
      </c>
      <c r="AE28" s="29">
        <v>50.5</v>
      </c>
      <c r="AF28" s="25">
        <v>0</v>
      </c>
      <c r="AG28" s="23">
        <v>0</v>
      </c>
      <c r="AH28" s="23">
        <f t="shared" si="1"/>
        <v>0</v>
      </c>
      <c r="AI28" s="26"/>
      <c r="AL28" s="66"/>
      <c r="AM28" s="67"/>
      <c r="AN28" s="66"/>
    </row>
    <row r="29" spans="1:40" ht="21.95" customHeight="1" x14ac:dyDescent="0.3">
      <c r="A29" s="19">
        <v>27</v>
      </c>
      <c r="B29" s="21">
        <v>2002</v>
      </c>
      <c r="C29" s="21" t="s">
        <v>1</v>
      </c>
      <c r="D29" s="21" t="s">
        <v>31</v>
      </c>
      <c r="E29" s="21" t="s">
        <v>48</v>
      </c>
      <c r="F29" s="21">
        <v>2002</v>
      </c>
      <c r="G29" s="21" t="s">
        <v>1</v>
      </c>
      <c r="H29" s="21" t="s">
        <v>31</v>
      </c>
      <c r="I29" s="21" t="s">
        <v>52</v>
      </c>
      <c r="J29" s="20" t="s">
        <v>0</v>
      </c>
      <c r="K29" s="22">
        <v>45</v>
      </c>
      <c r="L29" s="24">
        <f>44+32+37+42+69</f>
        <v>224</v>
      </c>
      <c r="M29" s="26">
        <v>17</v>
      </c>
      <c r="N29" s="22">
        <v>31</v>
      </c>
      <c r="O29" s="24">
        <f t="shared" si="2"/>
        <v>48</v>
      </c>
      <c r="P29" s="28">
        <v>25</v>
      </c>
      <c r="Q29" s="28">
        <v>1</v>
      </c>
      <c r="R29" s="28">
        <v>0</v>
      </c>
      <c r="S29" s="28">
        <v>1</v>
      </c>
      <c r="T29" s="28">
        <v>0</v>
      </c>
      <c r="U29" s="28">
        <v>0</v>
      </c>
      <c r="V29" s="28">
        <v>21</v>
      </c>
      <c r="W29" s="28"/>
      <c r="X29" s="26">
        <v>6</v>
      </c>
      <c r="Y29" s="22">
        <v>19</v>
      </c>
      <c r="Z29" s="22">
        <v>0</v>
      </c>
      <c r="AA29" s="22">
        <f t="shared" si="3"/>
        <v>25</v>
      </c>
      <c r="AB29" s="29">
        <f t="shared" si="0"/>
        <v>37.333333333333336</v>
      </c>
      <c r="AC29" s="30">
        <v>3.8076923076923075</v>
      </c>
      <c r="AD29" s="20">
        <v>54</v>
      </c>
      <c r="AE29" s="29">
        <v>88.5</v>
      </c>
      <c r="AF29" s="25">
        <v>0</v>
      </c>
      <c r="AG29" s="23">
        <v>0</v>
      </c>
      <c r="AH29" s="23">
        <f t="shared" si="1"/>
        <v>0</v>
      </c>
      <c r="AI29" s="100" t="s">
        <v>130</v>
      </c>
      <c r="AL29" s="66"/>
      <c r="AM29" s="67"/>
      <c r="AN29" s="66"/>
    </row>
    <row r="30" spans="1:40" ht="21.95" customHeight="1" x14ac:dyDescent="0.3">
      <c r="A30" s="19">
        <v>28</v>
      </c>
      <c r="B30" s="27">
        <v>2002</v>
      </c>
      <c r="C30" s="27" t="s">
        <v>1</v>
      </c>
      <c r="D30" s="27" t="s">
        <v>31</v>
      </c>
      <c r="E30" s="27" t="s">
        <v>53</v>
      </c>
      <c r="F30" s="27">
        <v>2002</v>
      </c>
      <c r="G30" s="27" t="s">
        <v>1</v>
      </c>
      <c r="H30" s="27" t="s">
        <v>31</v>
      </c>
      <c r="I30" s="27" t="s">
        <v>53</v>
      </c>
      <c r="J30" s="31" t="s">
        <v>42</v>
      </c>
      <c r="K30" s="22">
        <v>38</v>
      </c>
      <c r="L30" s="24">
        <f>30+36+40+47+51</f>
        <v>204</v>
      </c>
      <c r="M30" s="26">
        <v>18</v>
      </c>
      <c r="N30" s="22">
        <v>24</v>
      </c>
      <c r="O30" s="24">
        <f t="shared" si="2"/>
        <v>42</v>
      </c>
      <c r="P30" s="28">
        <v>12</v>
      </c>
      <c r="Q30" s="28">
        <v>2</v>
      </c>
      <c r="R30" s="28">
        <v>1</v>
      </c>
      <c r="S30" s="28">
        <v>1</v>
      </c>
      <c r="T30" s="28">
        <v>0</v>
      </c>
      <c r="U30" s="28">
        <v>1</v>
      </c>
      <c r="V30" s="28">
        <v>25</v>
      </c>
      <c r="W30" s="28"/>
      <c r="X30" s="26">
        <v>17</v>
      </c>
      <c r="Y30" s="22">
        <v>15</v>
      </c>
      <c r="Z30" s="22">
        <v>0</v>
      </c>
      <c r="AA30" s="22">
        <f t="shared" si="3"/>
        <v>32</v>
      </c>
      <c r="AB30" s="29">
        <f t="shared" si="0"/>
        <v>12</v>
      </c>
      <c r="AC30" s="30">
        <v>5.6525274725274723</v>
      </c>
      <c r="AD30" s="22">
        <v>47</v>
      </c>
      <c r="AE30" s="29">
        <v>54.79</v>
      </c>
      <c r="AF30" s="25">
        <v>53</v>
      </c>
      <c r="AG30" s="23">
        <v>7</v>
      </c>
      <c r="AH30" s="23">
        <f t="shared" si="1"/>
        <v>60</v>
      </c>
      <c r="AI30" s="26"/>
    </row>
    <row r="31" spans="1:40" ht="21.95" customHeight="1" x14ac:dyDescent="0.3">
      <c r="A31" s="19">
        <v>29</v>
      </c>
      <c r="B31" s="27">
        <v>2006</v>
      </c>
      <c r="C31" s="27" t="s">
        <v>30</v>
      </c>
      <c r="D31" s="27" t="s">
        <v>86</v>
      </c>
      <c r="E31" s="27" t="s">
        <v>48</v>
      </c>
      <c r="F31" s="27">
        <v>2006</v>
      </c>
      <c r="G31" s="27" t="s">
        <v>30</v>
      </c>
      <c r="H31" s="27" t="s">
        <v>86</v>
      </c>
      <c r="I31" s="27" t="s">
        <v>88</v>
      </c>
      <c r="J31" s="31" t="s">
        <v>90</v>
      </c>
      <c r="K31" s="22">
        <v>40</v>
      </c>
      <c r="L31" s="24">
        <f>33+39+52+29+35</f>
        <v>188</v>
      </c>
      <c r="M31" s="26">
        <v>24</v>
      </c>
      <c r="N31" s="22">
        <v>23</v>
      </c>
      <c r="O31" s="24">
        <f t="shared" si="2"/>
        <v>47</v>
      </c>
      <c r="P31" s="28">
        <v>24</v>
      </c>
      <c r="Q31" s="28">
        <v>2</v>
      </c>
      <c r="R31" s="28">
        <v>1</v>
      </c>
      <c r="S31" s="28">
        <v>0</v>
      </c>
      <c r="T31" s="28">
        <v>0</v>
      </c>
      <c r="U31" s="28">
        <v>1</v>
      </c>
      <c r="V31" s="28">
        <v>2</v>
      </c>
      <c r="W31" s="28"/>
      <c r="X31" s="26">
        <v>8</v>
      </c>
      <c r="Y31" s="22">
        <v>25</v>
      </c>
      <c r="Z31" s="22">
        <v>0</v>
      </c>
      <c r="AA31" s="22">
        <f t="shared" si="3"/>
        <v>33</v>
      </c>
      <c r="AB31" s="29">
        <f t="shared" si="0"/>
        <v>23.5</v>
      </c>
      <c r="AC31" s="30">
        <v>4.4806282722513089</v>
      </c>
      <c r="AD31" s="22">
        <v>54</v>
      </c>
      <c r="AE31" s="34">
        <v>52.6</v>
      </c>
      <c r="AF31" s="25">
        <v>35</v>
      </c>
      <c r="AG31" s="23">
        <v>9</v>
      </c>
      <c r="AH31" s="23">
        <f t="shared" si="1"/>
        <v>44</v>
      </c>
      <c r="AI31" s="26"/>
    </row>
    <row r="32" spans="1:40" ht="21.95" customHeight="1" x14ac:dyDescent="0.3">
      <c r="A32" s="19">
        <v>30</v>
      </c>
      <c r="B32" s="27">
        <v>2002</v>
      </c>
      <c r="C32" s="27" t="s">
        <v>1</v>
      </c>
      <c r="D32" s="27" t="s">
        <v>2</v>
      </c>
      <c r="E32" s="27" t="s">
        <v>3</v>
      </c>
      <c r="F32" s="27">
        <v>2002</v>
      </c>
      <c r="G32" s="27" t="s">
        <v>1</v>
      </c>
      <c r="H32" s="27" t="s">
        <v>2</v>
      </c>
      <c r="I32" s="27" t="s">
        <v>3</v>
      </c>
      <c r="J32" s="22" t="s">
        <v>0</v>
      </c>
      <c r="K32" s="22">
        <v>56</v>
      </c>
      <c r="L32" s="24">
        <f>53+46+55+47+84</f>
        <v>285</v>
      </c>
      <c r="M32" s="26">
        <v>24</v>
      </c>
      <c r="N32" s="22">
        <v>19</v>
      </c>
      <c r="O32" s="24">
        <f t="shared" si="2"/>
        <v>43</v>
      </c>
      <c r="P32" s="28">
        <v>22</v>
      </c>
      <c r="Q32" s="28">
        <v>6</v>
      </c>
      <c r="R32" s="28">
        <v>1</v>
      </c>
      <c r="S32" s="28">
        <v>0</v>
      </c>
      <c r="T32" s="28">
        <v>0</v>
      </c>
      <c r="U32" s="28">
        <v>3</v>
      </c>
      <c r="V32" s="28">
        <v>11</v>
      </c>
      <c r="W32" s="28"/>
      <c r="X32" s="26">
        <v>13</v>
      </c>
      <c r="Y32" s="22">
        <v>15</v>
      </c>
      <c r="Z32" s="22">
        <v>0</v>
      </c>
      <c r="AA32" s="22">
        <f t="shared" si="3"/>
        <v>28</v>
      </c>
      <c r="AB32" s="35">
        <f t="shared" si="0"/>
        <v>21.923076923076923</v>
      </c>
      <c r="AC32" s="30">
        <v>3.8920689655172414</v>
      </c>
      <c r="AD32" s="22">
        <v>52</v>
      </c>
      <c r="AE32" s="29">
        <v>56</v>
      </c>
      <c r="AF32" s="25">
        <v>20</v>
      </c>
      <c r="AG32" s="23">
        <v>3</v>
      </c>
      <c r="AH32" s="23">
        <f t="shared" si="1"/>
        <v>23</v>
      </c>
      <c r="AI32" s="26"/>
    </row>
    <row r="33" spans="1:40" ht="21.95" customHeight="1" x14ac:dyDescent="0.3">
      <c r="A33" s="19">
        <v>31</v>
      </c>
      <c r="B33" s="27">
        <v>2002</v>
      </c>
      <c r="C33" s="27" t="s">
        <v>1</v>
      </c>
      <c r="D33" s="27" t="s">
        <v>2</v>
      </c>
      <c r="E33" s="27" t="s">
        <v>33</v>
      </c>
      <c r="F33" s="27">
        <v>2002</v>
      </c>
      <c r="G33" s="27" t="s">
        <v>1</v>
      </c>
      <c r="H33" s="27" t="s">
        <v>2</v>
      </c>
      <c r="I33" s="27" t="s">
        <v>73</v>
      </c>
      <c r="J33" s="22" t="s">
        <v>79</v>
      </c>
      <c r="K33" s="22">
        <v>25</v>
      </c>
      <c r="L33" s="24">
        <f>68+65+33+26+49</f>
        <v>241</v>
      </c>
      <c r="M33" s="26">
        <v>16</v>
      </c>
      <c r="N33" s="22">
        <v>11</v>
      </c>
      <c r="O33" s="24">
        <f t="shared" si="2"/>
        <v>27</v>
      </c>
      <c r="P33" s="28">
        <v>7</v>
      </c>
      <c r="Q33" s="28">
        <v>3</v>
      </c>
      <c r="R33" s="28">
        <v>1</v>
      </c>
      <c r="S33" s="28">
        <v>0</v>
      </c>
      <c r="T33" s="28">
        <v>1</v>
      </c>
      <c r="U33" s="28">
        <v>2</v>
      </c>
      <c r="V33" s="28">
        <v>10</v>
      </c>
      <c r="W33" s="28"/>
      <c r="X33" s="26">
        <v>11</v>
      </c>
      <c r="Y33" s="22">
        <v>29</v>
      </c>
      <c r="Z33" s="22">
        <v>0</v>
      </c>
      <c r="AA33" s="22">
        <f t="shared" si="3"/>
        <v>40</v>
      </c>
      <c r="AB33" s="29">
        <f t="shared" si="0"/>
        <v>21.90909090909091</v>
      </c>
      <c r="AC33" s="30">
        <v>5.7433333333333332</v>
      </c>
      <c r="AD33" s="22">
        <v>48</v>
      </c>
      <c r="AE33" s="24">
        <v>54.6</v>
      </c>
      <c r="AF33" s="25">
        <v>5</v>
      </c>
      <c r="AG33" s="23">
        <v>1</v>
      </c>
      <c r="AH33" s="23">
        <f t="shared" si="1"/>
        <v>6</v>
      </c>
      <c r="AI33" s="26"/>
    </row>
    <row r="34" spans="1:40" ht="21.95" customHeight="1" x14ac:dyDescent="0.3">
      <c r="A34" s="19">
        <v>32</v>
      </c>
      <c r="B34" s="27">
        <v>2002</v>
      </c>
      <c r="C34" s="27" t="s">
        <v>7</v>
      </c>
      <c r="D34" s="27" t="s">
        <v>8</v>
      </c>
      <c r="E34" s="27" t="s">
        <v>3</v>
      </c>
      <c r="F34" s="27">
        <v>2002</v>
      </c>
      <c r="G34" s="27" t="s">
        <v>7</v>
      </c>
      <c r="H34" s="27" t="s">
        <v>8</v>
      </c>
      <c r="I34" s="27" t="s">
        <v>3</v>
      </c>
      <c r="J34" s="31" t="s">
        <v>44</v>
      </c>
      <c r="K34" s="22">
        <v>38</v>
      </c>
      <c r="L34" s="24">
        <f>39+38+45+32+62</f>
        <v>216</v>
      </c>
      <c r="M34" s="26">
        <v>30</v>
      </c>
      <c r="N34" s="22">
        <v>18</v>
      </c>
      <c r="O34" s="24">
        <f t="shared" si="2"/>
        <v>48</v>
      </c>
      <c r="P34" s="28">
        <v>24</v>
      </c>
      <c r="Q34" s="28">
        <v>2</v>
      </c>
      <c r="R34" s="28">
        <v>0</v>
      </c>
      <c r="S34" s="28">
        <v>1</v>
      </c>
      <c r="T34" s="28">
        <v>0</v>
      </c>
      <c r="U34" s="28">
        <v>2</v>
      </c>
      <c r="V34" s="28">
        <v>19</v>
      </c>
      <c r="W34" s="28"/>
      <c r="X34" s="26">
        <v>26</v>
      </c>
      <c r="Y34" s="22">
        <v>20</v>
      </c>
      <c r="Z34" s="22">
        <v>0</v>
      </c>
      <c r="AA34" s="22">
        <f t="shared" si="3"/>
        <v>46</v>
      </c>
      <c r="AB34" s="29">
        <f t="shared" si="0"/>
        <v>8.3076923076923084</v>
      </c>
      <c r="AC34" s="30">
        <f>2186.24/360</f>
        <v>6.0728888888888886</v>
      </c>
      <c r="AD34" s="22">
        <v>52</v>
      </c>
      <c r="AE34" s="29">
        <v>53.95</v>
      </c>
      <c r="AF34" s="25">
        <v>54</v>
      </c>
      <c r="AG34" s="23">
        <v>3</v>
      </c>
      <c r="AH34" s="23">
        <f t="shared" si="1"/>
        <v>57</v>
      </c>
      <c r="AI34" s="26"/>
    </row>
    <row r="35" spans="1:40" ht="21.95" customHeight="1" x14ac:dyDescent="0.3">
      <c r="A35" s="19">
        <v>33</v>
      </c>
      <c r="B35" s="21">
        <v>2002</v>
      </c>
      <c r="C35" s="21" t="s">
        <v>30</v>
      </c>
      <c r="D35" s="21" t="s">
        <v>31</v>
      </c>
      <c r="E35" s="21" t="s">
        <v>54</v>
      </c>
      <c r="F35" s="21">
        <v>2002</v>
      </c>
      <c r="G35" s="21" t="s">
        <v>30</v>
      </c>
      <c r="H35" s="21" t="s">
        <v>31</v>
      </c>
      <c r="I35" s="21" t="s">
        <v>54</v>
      </c>
      <c r="J35" s="20" t="s">
        <v>26</v>
      </c>
      <c r="K35" s="22">
        <v>29</v>
      </c>
      <c r="L35" s="24">
        <f>37+36+41+27+34</f>
        <v>175</v>
      </c>
      <c r="M35" s="26">
        <v>17</v>
      </c>
      <c r="N35" s="22">
        <v>11</v>
      </c>
      <c r="O35" s="24">
        <f t="shared" si="2"/>
        <v>28</v>
      </c>
      <c r="P35" s="28"/>
      <c r="Q35" s="28"/>
      <c r="R35" s="28"/>
      <c r="S35" s="28"/>
      <c r="T35" s="28"/>
      <c r="U35" s="28"/>
      <c r="V35" s="28"/>
      <c r="W35" s="28"/>
      <c r="X35" s="26">
        <v>8</v>
      </c>
      <c r="Y35" s="22">
        <v>11</v>
      </c>
      <c r="Z35" s="22">
        <v>0</v>
      </c>
      <c r="AA35" s="22">
        <f t="shared" si="3"/>
        <v>19</v>
      </c>
      <c r="AB35" s="29">
        <f t="shared" ref="AB35:AB71" si="4">L35/X35</f>
        <v>21.875</v>
      </c>
      <c r="AC35" s="30">
        <f>1589.2/361</f>
        <v>4.4022160664819943</v>
      </c>
      <c r="AD35" s="22">
        <v>48</v>
      </c>
      <c r="AE35" s="34">
        <v>64.3</v>
      </c>
      <c r="AF35" s="25">
        <v>5</v>
      </c>
      <c r="AG35" s="23">
        <v>5</v>
      </c>
      <c r="AH35" s="23">
        <f t="shared" si="1"/>
        <v>10</v>
      </c>
      <c r="AI35" s="100" t="s">
        <v>130</v>
      </c>
    </row>
    <row r="36" spans="1:40" ht="21.95" customHeight="1" x14ac:dyDescent="0.3">
      <c r="A36" s="19">
        <v>34</v>
      </c>
      <c r="B36" s="27">
        <v>2003</v>
      </c>
      <c r="C36" s="27" t="s">
        <v>4</v>
      </c>
      <c r="D36" s="27" t="s">
        <v>2</v>
      </c>
      <c r="E36" s="27" t="s">
        <v>48</v>
      </c>
      <c r="F36" s="27">
        <v>2003</v>
      </c>
      <c r="G36" s="27" t="s">
        <v>4</v>
      </c>
      <c r="H36" s="27" t="s">
        <v>2</v>
      </c>
      <c r="I36" s="27" t="s">
        <v>55</v>
      </c>
      <c r="J36" s="31" t="s">
        <v>44</v>
      </c>
      <c r="K36" s="22">
        <v>41</v>
      </c>
      <c r="L36" s="24">
        <f>36+34+38+32+58</f>
        <v>198</v>
      </c>
      <c r="M36" s="26">
        <v>16</v>
      </c>
      <c r="N36" s="22">
        <v>14</v>
      </c>
      <c r="O36" s="24">
        <f t="shared" si="2"/>
        <v>30</v>
      </c>
      <c r="P36" s="28"/>
      <c r="Q36" s="28"/>
      <c r="R36" s="28"/>
      <c r="S36" s="28"/>
      <c r="T36" s="28"/>
      <c r="U36" s="28"/>
      <c r="V36" s="28"/>
      <c r="W36" s="28"/>
      <c r="X36" s="26">
        <v>11</v>
      </c>
      <c r="Y36" s="22">
        <v>39</v>
      </c>
      <c r="Z36" s="22">
        <v>0</v>
      </c>
      <c r="AA36" s="22">
        <f t="shared" si="3"/>
        <v>50</v>
      </c>
      <c r="AB36" s="29">
        <f t="shared" si="4"/>
        <v>18</v>
      </c>
      <c r="AC36" s="30">
        <f>3407.46/452</f>
        <v>7.5386283185840712</v>
      </c>
      <c r="AD36" s="20">
        <v>54</v>
      </c>
      <c r="AE36" s="29">
        <v>71.3</v>
      </c>
      <c r="AF36" s="25">
        <v>71</v>
      </c>
      <c r="AG36" s="23">
        <v>3</v>
      </c>
      <c r="AH36" s="23">
        <f t="shared" si="1"/>
        <v>74</v>
      </c>
      <c r="AI36" s="100" t="s">
        <v>130</v>
      </c>
    </row>
    <row r="37" spans="1:40" ht="21.95" customHeight="1" x14ac:dyDescent="0.3">
      <c r="A37" s="19">
        <v>35</v>
      </c>
      <c r="B37" s="36">
        <v>2002</v>
      </c>
      <c r="C37" s="36" t="s">
        <v>24</v>
      </c>
      <c r="D37" s="36" t="s">
        <v>29</v>
      </c>
      <c r="E37" s="32" t="s">
        <v>125</v>
      </c>
      <c r="F37" s="36">
        <v>2002</v>
      </c>
      <c r="G37" s="36" t="s">
        <v>24</v>
      </c>
      <c r="H37" s="36" t="s">
        <v>29</v>
      </c>
      <c r="I37" s="32" t="s">
        <v>25</v>
      </c>
      <c r="J37" s="20" t="s">
        <v>26</v>
      </c>
      <c r="K37" s="22">
        <v>51</v>
      </c>
      <c r="L37" s="24">
        <f>98+41+52+56+69</f>
        <v>316</v>
      </c>
      <c r="M37" s="26">
        <v>17</v>
      </c>
      <c r="N37" s="22">
        <v>23</v>
      </c>
      <c r="O37" s="24">
        <f t="shared" si="2"/>
        <v>40</v>
      </c>
      <c r="P37" s="28">
        <v>16</v>
      </c>
      <c r="Q37" s="28">
        <v>3</v>
      </c>
      <c r="R37" s="28">
        <v>0</v>
      </c>
      <c r="S37" s="28">
        <v>0</v>
      </c>
      <c r="T37" s="28">
        <v>0</v>
      </c>
      <c r="U37" s="28">
        <v>4</v>
      </c>
      <c r="V37" s="28">
        <v>17</v>
      </c>
      <c r="W37" s="28"/>
      <c r="X37" s="26">
        <v>7</v>
      </c>
      <c r="Y37" s="22">
        <v>32</v>
      </c>
      <c r="Z37" s="22">
        <v>0</v>
      </c>
      <c r="AA37" s="22">
        <f t="shared" si="3"/>
        <v>39</v>
      </c>
      <c r="AB37" s="29">
        <f t="shared" si="4"/>
        <v>45.142857142857146</v>
      </c>
      <c r="AC37" s="30">
        <f>1318.8/386</f>
        <v>3.4165803108808288</v>
      </c>
      <c r="AD37" s="20">
        <v>60</v>
      </c>
      <c r="AE37" s="29">
        <v>51.28</v>
      </c>
      <c r="AF37" s="25">
        <v>118</v>
      </c>
      <c r="AG37" s="23">
        <v>7</v>
      </c>
      <c r="AH37" s="23">
        <f t="shared" si="1"/>
        <v>125</v>
      </c>
      <c r="AI37" s="26"/>
    </row>
    <row r="38" spans="1:40" ht="21.95" customHeight="1" x14ac:dyDescent="0.3">
      <c r="A38" s="19">
        <v>36</v>
      </c>
      <c r="B38" s="21">
        <v>2002</v>
      </c>
      <c r="C38" s="21" t="s">
        <v>34</v>
      </c>
      <c r="D38" s="21" t="s">
        <v>31</v>
      </c>
      <c r="E38" s="21" t="s">
        <v>48</v>
      </c>
      <c r="F38" s="21">
        <v>2002</v>
      </c>
      <c r="G38" s="21" t="s">
        <v>99</v>
      </c>
      <c r="H38" s="21" t="s">
        <v>102</v>
      </c>
      <c r="I38" s="21" t="s">
        <v>100</v>
      </c>
      <c r="J38" s="20" t="s">
        <v>101</v>
      </c>
      <c r="K38" s="22">
        <v>24</v>
      </c>
      <c r="L38" s="24">
        <f>29+32+28+33+32</f>
        <v>154</v>
      </c>
      <c r="M38" s="26">
        <v>15</v>
      </c>
      <c r="N38" s="22">
        <v>8</v>
      </c>
      <c r="O38" s="24">
        <f t="shared" si="2"/>
        <v>23</v>
      </c>
      <c r="P38" s="28">
        <v>17</v>
      </c>
      <c r="Q38" s="28">
        <v>1</v>
      </c>
      <c r="R38" s="28">
        <v>0</v>
      </c>
      <c r="S38" s="28">
        <v>0</v>
      </c>
      <c r="T38" s="28">
        <v>0</v>
      </c>
      <c r="U38" s="28">
        <v>0</v>
      </c>
      <c r="V38" s="28">
        <v>5</v>
      </c>
      <c r="W38" s="28"/>
      <c r="X38" s="26">
        <v>7</v>
      </c>
      <c r="Y38" s="22">
        <v>14</v>
      </c>
      <c r="Z38" s="22">
        <v>0</v>
      </c>
      <c r="AA38" s="22">
        <f t="shared" si="3"/>
        <v>21</v>
      </c>
      <c r="AB38" s="29">
        <f t="shared" si="4"/>
        <v>22</v>
      </c>
      <c r="AC38" s="30">
        <f>600/(34+26+31+30+30+31+25+24+23+23)</f>
        <v>2.1660649819494586</v>
      </c>
      <c r="AD38" s="22">
        <v>50</v>
      </c>
      <c r="AE38" s="29">
        <v>56</v>
      </c>
      <c r="AF38" s="25">
        <v>24</v>
      </c>
      <c r="AG38" s="23">
        <v>8</v>
      </c>
      <c r="AH38" s="23">
        <f t="shared" si="1"/>
        <v>32</v>
      </c>
      <c r="AI38" s="26"/>
      <c r="AL38" s="67"/>
      <c r="AM38" s="67"/>
      <c r="AN38" s="67"/>
    </row>
    <row r="39" spans="1:40" ht="21.95" customHeight="1" x14ac:dyDescent="0.3">
      <c r="A39" s="19">
        <v>37</v>
      </c>
      <c r="B39" s="36">
        <v>2003</v>
      </c>
      <c r="C39" s="36" t="s">
        <v>30</v>
      </c>
      <c r="D39" s="36" t="s">
        <v>31</v>
      </c>
      <c r="E39" s="32" t="s">
        <v>33</v>
      </c>
      <c r="F39" s="36">
        <v>2003</v>
      </c>
      <c r="G39" s="36" t="s">
        <v>30</v>
      </c>
      <c r="H39" s="36" t="s">
        <v>31</v>
      </c>
      <c r="I39" s="32" t="s">
        <v>33</v>
      </c>
      <c r="J39" s="20" t="s">
        <v>26</v>
      </c>
      <c r="K39" s="22">
        <v>30</v>
      </c>
      <c r="L39" s="24">
        <f>64+58+26+26+51</f>
        <v>225</v>
      </c>
      <c r="M39" s="26">
        <v>26</v>
      </c>
      <c r="N39" s="22">
        <v>15</v>
      </c>
      <c r="O39" s="24">
        <f t="shared" ref="O39:O56" si="5">SUM(M39:N39)</f>
        <v>41</v>
      </c>
      <c r="P39" s="28">
        <v>18</v>
      </c>
      <c r="Q39" s="28">
        <v>0</v>
      </c>
      <c r="R39" s="28">
        <v>0</v>
      </c>
      <c r="S39" s="28">
        <v>0</v>
      </c>
      <c r="T39" s="28">
        <v>0</v>
      </c>
      <c r="U39" s="28">
        <v>2</v>
      </c>
      <c r="V39" s="28">
        <v>12</v>
      </c>
      <c r="W39" s="28"/>
      <c r="X39" s="26">
        <v>17</v>
      </c>
      <c r="Y39" s="22">
        <v>23</v>
      </c>
      <c r="Z39" s="22">
        <v>0</v>
      </c>
      <c r="AA39" s="22">
        <f t="shared" ref="AA39:AA65" si="6">SUM(X39:Z39)</f>
        <v>40</v>
      </c>
      <c r="AB39" s="29">
        <f t="shared" si="4"/>
        <v>13.235294117647058</v>
      </c>
      <c r="AC39" s="30">
        <f>1432/396</f>
        <v>3.6161616161616164</v>
      </c>
      <c r="AD39" s="20">
        <v>51</v>
      </c>
      <c r="AE39" s="34">
        <v>44.18</v>
      </c>
      <c r="AF39" s="25">
        <v>0</v>
      </c>
      <c r="AG39" s="23">
        <v>0</v>
      </c>
      <c r="AH39" s="23">
        <f t="shared" si="1"/>
        <v>0</v>
      </c>
      <c r="AI39" s="26"/>
    </row>
    <row r="40" spans="1:40" ht="21.95" customHeight="1" x14ac:dyDescent="0.3">
      <c r="A40" s="19">
        <v>38</v>
      </c>
      <c r="B40" s="21">
        <v>2003</v>
      </c>
      <c r="C40" s="21" t="s">
        <v>4</v>
      </c>
      <c r="D40" s="21" t="s">
        <v>2</v>
      </c>
      <c r="E40" s="21" t="s">
        <v>3</v>
      </c>
      <c r="F40" s="21">
        <v>2003</v>
      </c>
      <c r="G40" s="21" t="s">
        <v>4</v>
      </c>
      <c r="H40" s="21" t="s">
        <v>2</v>
      </c>
      <c r="I40" s="21" t="s">
        <v>3</v>
      </c>
      <c r="J40" s="20" t="s">
        <v>26</v>
      </c>
      <c r="K40" s="22">
        <v>53</v>
      </c>
      <c r="L40" s="24">
        <f>88+36+43+31+51</f>
        <v>249</v>
      </c>
      <c r="M40" s="26">
        <v>13</v>
      </c>
      <c r="N40" s="22">
        <v>15</v>
      </c>
      <c r="O40" s="24">
        <f t="shared" si="5"/>
        <v>28</v>
      </c>
      <c r="P40" s="28">
        <v>10</v>
      </c>
      <c r="Q40" s="28">
        <v>1</v>
      </c>
      <c r="R40" s="28">
        <v>0</v>
      </c>
      <c r="S40" s="28">
        <v>1</v>
      </c>
      <c r="T40" s="28">
        <v>0</v>
      </c>
      <c r="U40" s="28">
        <v>1</v>
      </c>
      <c r="V40" s="28">
        <v>2</v>
      </c>
      <c r="W40" s="28"/>
      <c r="X40" s="26">
        <v>16</v>
      </c>
      <c r="Y40" s="22">
        <v>25</v>
      </c>
      <c r="Z40" s="22">
        <v>0</v>
      </c>
      <c r="AA40" s="22">
        <f t="shared" si="6"/>
        <v>41</v>
      </c>
      <c r="AB40" s="29">
        <f t="shared" si="4"/>
        <v>15.5625</v>
      </c>
      <c r="AC40" s="30">
        <f>1670/492</f>
        <v>3.3943089430894311</v>
      </c>
      <c r="AD40" s="20">
        <v>54</v>
      </c>
      <c r="AE40" s="24">
        <v>52.7</v>
      </c>
      <c r="AF40" s="25">
        <v>126</v>
      </c>
      <c r="AG40" s="23">
        <v>4</v>
      </c>
      <c r="AH40" s="23">
        <f t="shared" si="1"/>
        <v>130</v>
      </c>
      <c r="AI40" s="26"/>
    </row>
    <row r="41" spans="1:40" ht="21.95" customHeight="1" x14ac:dyDescent="0.3">
      <c r="A41" s="19">
        <v>39</v>
      </c>
      <c r="B41" s="21">
        <v>2003</v>
      </c>
      <c r="C41" s="21" t="s">
        <v>4</v>
      </c>
      <c r="D41" s="21" t="s">
        <v>2</v>
      </c>
      <c r="E41" s="21" t="s">
        <v>3</v>
      </c>
      <c r="F41" s="21">
        <v>2003</v>
      </c>
      <c r="G41" s="21" t="s">
        <v>4</v>
      </c>
      <c r="H41" s="21" t="s">
        <v>2</v>
      </c>
      <c r="I41" s="21" t="s">
        <v>3</v>
      </c>
      <c r="J41" s="20" t="s">
        <v>26</v>
      </c>
      <c r="K41" s="22">
        <v>38</v>
      </c>
      <c r="L41" s="24">
        <f>75+36+35+30+40</f>
        <v>216</v>
      </c>
      <c r="M41" s="26">
        <v>4</v>
      </c>
      <c r="N41" s="22">
        <v>2</v>
      </c>
      <c r="O41" s="24">
        <f t="shared" si="5"/>
        <v>6</v>
      </c>
      <c r="P41" s="28"/>
      <c r="Q41" s="28"/>
      <c r="R41" s="28"/>
      <c r="S41" s="28"/>
      <c r="T41" s="28"/>
      <c r="U41" s="28"/>
      <c r="V41" s="28"/>
      <c r="W41" s="28"/>
      <c r="X41" s="26">
        <v>16</v>
      </c>
      <c r="Y41" s="22">
        <v>29</v>
      </c>
      <c r="Z41" s="22">
        <v>0</v>
      </c>
      <c r="AA41" s="22">
        <f t="shared" si="6"/>
        <v>45</v>
      </c>
      <c r="AB41" s="29">
        <f t="shared" si="4"/>
        <v>13.5</v>
      </c>
      <c r="AC41" s="30">
        <f>1770.72/371</f>
        <v>4.7728301886792455</v>
      </c>
      <c r="AD41" s="22">
        <v>48</v>
      </c>
      <c r="AE41" s="29">
        <v>59.219000000000008</v>
      </c>
      <c r="AF41" s="25">
        <v>0</v>
      </c>
      <c r="AG41" s="23">
        <v>0</v>
      </c>
      <c r="AH41" s="23">
        <f t="shared" si="1"/>
        <v>0</v>
      </c>
      <c r="AI41" s="100" t="s">
        <v>133</v>
      </c>
    </row>
    <row r="42" spans="1:40" ht="21.95" customHeight="1" x14ac:dyDescent="0.3">
      <c r="A42" s="19">
        <v>40</v>
      </c>
      <c r="B42" s="21">
        <v>2002</v>
      </c>
      <c r="C42" s="21" t="s">
        <v>4</v>
      </c>
      <c r="D42" s="21" t="s">
        <v>69</v>
      </c>
      <c r="E42" s="21" t="s">
        <v>126</v>
      </c>
      <c r="F42" s="21">
        <v>2002</v>
      </c>
      <c r="G42" s="21" t="s">
        <v>4</v>
      </c>
      <c r="H42" s="21" t="s">
        <v>31</v>
      </c>
      <c r="I42" s="21" t="s">
        <v>56</v>
      </c>
      <c r="J42" s="20" t="s">
        <v>26</v>
      </c>
      <c r="K42" s="22">
        <v>42</v>
      </c>
      <c r="L42" s="24">
        <f>127+44+39+53+63</f>
        <v>326</v>
      </c>
      <c r="M42" s="26">
        <v>30</v>
      </c>
      <c r="N42" s="22">
        <v>28</v>
      </c>
      <c r="O42" s="24">
        <f t="shared" si="5"/>
        <v>58</v>
      </c>
      <c r="P42" s="28"/>
      <c r="Q42" s="28"/>
      <c r="R42" s="28"/>
      <c r="S42" s="28"/>
      <c r="T42" s="28"/>
      <c r="U42" s="28"/>
      <c r="V42" s="28"/>
      <c r="W42" s="28"/>
      <c r="X42" s="26">
        <v>16</v>
      </c>
      <c r="Y42" s="22">
        <v>31</v>
      </c>
      <c r="Z42" s="22">
        <v>0</v>
      </c>
      <c r="AA42" s="22">
        <f t="shared" si="6"/>
        <v>47</v>
      </c>
      <c r="AB42" s="29">
        <f t="shared" si="4"/>
        <v>20.375</v>
      </c>
      <c r="AC42" s="30">
        <f>(178+178+229+229+230+230+229+229+264+264)/(143+154+47+50+56+53+57+54+43+47)</f>
        <v>3.2102272727272729</v>
      </c>
      <c r="AD42" s="20">
        <v>52</v>
      </c>
      <c r="AE42" s="29">
        <v>46.381999999999991</v>
      </c>
      <c r="AF42" s="25"/>
      <c r="AG42" s="23"/>
      <c r="AH42" s="23">
        <f t="shared" si="1"/>
        <v>0</v>
      </c>
      <c r="AI42" s="100" t="s">
        <v>134</v>
      </c>
    </row>
    <row r="43" spans="1:40" ht="21.95" customHeight="1" x14ac:dyDescent="0.3">
      <c r="A43" s="19">
        <v>41</v>
      </c>
      <c r="B43" s="16">
        <v>2002</v>
      </c>
      <c r="C43" s="16" t="s">
        <v>4</v>
      </c>
      <c r="D43" s="16" t="s">
        <v>57</v>
      </c>
      <c r="E43" s="16" t="s">
        <v>58</v>
      </c>
      <c r="F43" s="16">
        <v>2002</v>
      </c>
      <c r="G43" s="16" t="s">
        <v>4</v>
      </c>
      <c r="H43" s="16" t="s">
        <v>57</v>
      </c>
      <c r="I43" s="16" t="s">
        <v>58</v>
      </c>
      <c r="J43" s="15" t="s">
        <v>0</v>
      </c>
      <c r="K43" s="37">
        <v>40</v>
      </c>
      <c r="L43" s="93">
        <f>41+41+33+40+57</f>
        <v>212</v>
      </c>
      <c r="M43" s="69">
        <v>27</v>
      </c>
      <c r="N43" s="37">
        <v>18</v>
      </c>
      <c r="O43" s="93">
        <f t="shared" si="5"/>
        <v>45</v>
      </c>
      <c r="P43" s="94">
        <v>29</v>
      </c>
      <c r="Q43" s="94">
        <v>1</v>
      </c>
      <c r="R43" s="28">
        <v>0</v>
      </c>
      <c r="S43" s="28">
        <v>0</v>
      </c>
      <c r="T43" s="28">
        <v>0</v>
      </c>
      <c r="U43" s="28">
        <v>0</v>
      </c>
      <c r="V43" s="94">
        <v>15</v>
      </c>
      <c r="W43" s="94"/>
      <c r="X43" s="69">
        <v>6</v>
      </c>
      <c r="Y43" s="37">
        <v>28</v>
      </c>
      <c r="Z43" s="37">
        <v>0</v>
      </c>
      <c r="AA43" s="37">
        <f t="shared" si="6"/>
        <v>34</v>
      </c>
      <c r="AB43" s="95">
        <f t="shared" si="4"/>
        <v>35.333333333333336</v>
      </c>
      <c r="AC43" s="96">
        <f>1934.8/386</f>
        <v>5.0124352331606215</v>
      </c>
      <c r="AD43" s="20">
        <f>16+36</f>
        <v>52</v>
      </c>
      <c r="AE43" s="95">
        <v>54.6</v>
      </c>
      <c r="AF43" s="17">
        <v>11</v>
      </c>
      <c r="AG43" s="18">
        <v>6</v>
      </c>
      <c r="AH43" s="23">
        <f t="shared" si="1"/>
        <v>17</v>
      </c>
      <c r="AI43" s="69"/>
    </row>
    <row r="44" spans="1:40" ht="21.95" customHeight="1" x14ac:dyDescent="0.3">
      <c r="A44" s="19">
        <v>42</v>
      </c>
      <c r="B44" s="27">
        <v>2002</v>
      </c>
      <c r="C44" s="27" t="s">
        <v>30</v>
      </c>
      <c r="D44" s="27" t="s">
        <v>31</v>
      </c>
      <c r="E44" s="27" t="s">
        <v>48</v>
      </c>
      <c r="F44" s="27">
        <v>2002</v>
      </c>
      <c r="G44" s="27" t="s">
        <v>59</v>
      </c>
      <c r="H44" s="27" t="s">
        <v>31</v>
      </c>
      <c r="I44" s="27" t="s">
        <v>55</v>
      </c>
      <c r="J44" s="31" t="s">
        <v>60</v>
      </c>
      <c r="K44" s="22">
        <v>37</v>
      </c>
      <c r="L44" s="24">
        <f>36+76+70+46+49</f>
        <v>277</v>
      </c>
      <c r="M44" s="26">
        <v>17</v>
      </c>
      <c r="N44" s="22">
        <v>18</v>
      </c>
      <c r="O44" s="24">
        <f t="shared" si="5"/>
        <v>35</v>
      </c>
      <c r="P44" s="28">
        <v>22</v>
      </c>
      <c r="Q44" s="28">
        <v>4</v>
      </c>
      <c r="R44" s="28">
        <v>0</v>
      </c>
      <c r="S44" s="28">
        <v>0</v>
      </c>
      <c r="T44" s="28">
        <v>0</v>
      </c>
      <c r="U44" s="28">
        <v>0</v>
      </c>
      <c r="V44" s="28">
        <v>2</v>
      </c>
      <c r="W44" s="28"/>
      <c r="X44" s="26">
        <v>7</v>
      </c>
      <c r="Y44" s="22">
        <v>15</v>
      </c>
      <c r="Z44" s="22">
        <v>0</v>
      </c>
      <c r="AA44" s="22">
        <f t="shared" si="6"/>
        <v>22</v>
      </c>
      <c r="AB44" s="29">
        <f t="shared" si="4"/>
        <v>39.571428571428569</v>
      </c>
      <c r="AC44" s="30">
        <f>1842/385</f>
        <v>4.7844155844155845</v>
      </c>
      <c r="AD44" s="22">
        <v>51</v>
      </c>
      <c r="AE44" s="29">
        <v>40.200000000000003</v>
      </c>
      <c r="AF44" s="25">
        <v>31</v>
      </c>
      <c r="AG44" s="23">
        <v>11</v>
      </c>
      <c r="AH44" s="23">
        <f t="shared" si="1"/>
        <v>42</v>
      </c>
      <c r="AI44" s="26"/>
    </row>
    <row r="45" spans="1:40" ht="21.95" customHeight="1" x14ac:dyDescent="0.3">
      <c r="A45" s="19">
        <v>43</v>
      </c>
      <c r="B45" s="39">
        <v>2003</v>
      </c>
      <c r="C45" s="39" t="s">
        <v>4</v>
      </c>
      <c r="D45" s="39" t="s">
        <v>2</v>
      </c>
      <c r="E45" s="39" t="s">
        <v>3</v>
      </c>
      <c r="F45" s="39">
        <v>2003</v>
      </c>
      <c r="G45" s="39" t="s">
        <v>4</v>
      </c>
      <c r="H45" s="39" t="s">
        <v>2</v>
      </c>
      <c r="I45" s="39" t="s">
        <v>3</v>
      </c>
      <c r="J45" s="38" t="s">
        <v>26</v>
      </c>
      <c r="K45" s="63">
        <v>32</v>
      </c>
      <c r="L45" s="46">
        <f>19+20+28+22+26</f>
        <v>115</v>
      </c>
      <c r="M45" s="40">
        <v>0</v>
      </c>
      <c r="N45" s="63">
        <v>17</v>
      </c>
      <c r="O45" s="24">
        <f t="shared" si="5"/>
        <v>17</v>
      </c>
      <c r="P45" s="41">
        <v>2</v>
      </c>
      <c r="Q45" s="28">
        <v>0</v>
      </c>
      <c r="R45" s="28">
        <v>0</v>
      </c>
      <c r="S45" s="28">
        <v>0</v>
      </c>
      <c r="T45" s="28">
        <v>0</v>
      </c>
      <c r="U45" s="41">
        <v>2</v>
      </c>
      <c r="V45" s="41">
        <v>13</v>
      </c>
      <c r="W45" s="41"/>
      <c r="X45" s="40">
        <v>10</v>
      </c>
      <c r="Y45" s="63">
        <v>14</v>
      </c>
      <c r="Z45" s="63">
        <v>0</v>
      </c>
      <c r="AA45" s="63">
        <f t="shared" si="6"/>
        <v>24</v>
      </c>
      <c r="AB45" s="29">
        <f t="shared" si="4"/>
        <v>11.5</v>
      </c>
      <c r="AC45" s="42">
        <f>(139.3+120.2+102.2+113.3+120.1+77.77+120.1+70.25+104.4+139.28)/(33+30+33+34+27+20+26+23+33+36)</f>
        <v>3.7522033898305089</v>
      </c>
      <c r="AD45" s="22">
        <v>51</v>
      </c>
      <c r="AE45" s="50">
        <v>50.83</v>
      </c>
      <c r="AF45" s="25">
        <v>18</v>
      </c>
      <c r="AG45" s="23">
        <v>2</v>
      </c>
      <c r="AH45" s="23">
        <f t="shared" si="1"/>
        <v>20</v>
      </c>
      <c r="AI45" s="70"/>
    </row>
    <row r="46" spans="1:40" ht="21.95" customHeight="1" x14ac:dyDescent="0.3">
      <c r="A46" s="19">
        <v>44</v>
      </c>
      <c r="B46" s="44">
        <v>2002</v>
      </c>
      <c r="C46" s="44" t="s">
        <v>30</v>
      </c>
      <c r="D46" s="21" t="s">
        <v>31</v>
      </c>
      <c r="E46" s="44" t="s">
        <v>33</v>
      </c>
      <c r="F46" s="44">
        <v>2002</v>
      </c>
      <c r="G46" s="44" t="s">
        <v>30</v>
      </c>
      <c r="H46" s="21" t="s">
        <v>31</v>
      </c>
      <c r="I46" s="44" t="s">
        <v>33</v>
      </c>
      <c r="J46" s="43" t="s">
        <v>26</v>
      </c>
      <c r="K46" s="63">
        <v>44</v>
      </c>
      <c r="L46" s="46">
        <f>42+30+37+28+56</f>
        <v>193</v>
      </c>
      <c r="M46" s="40">
        <v>26</v>
      </c>
      <c r="N46" s="63">
        <v>12</v>
      </c>
      <c r="O46" s="46">
        <f t="shared" si="5"/>
        <v>38</v>
      </c>
      <c r="P46" s="41">
        <v>16</v>
      </c>
      <c r="Q46" s="41">
        <v>2</v>
      </c>
      <c r="R46" s="28">
        <v>0</v>
      </c>
      <c r="S46" s="41">
        <v>1</v>
      </c>
      <c r="T46" s="28">
        <v>0</v>
      </c>
      <c r="U46" s="41">
        <v>7</v>
      </c>
      <c r="V46" s="41">
        <v>12</v>
      </c>
      <c r="W46" s="41"/>
      <c r="X46" s="40">
        <v>10</v>
      </c>
      <c r="Y46" s="63">
        <v>28</v>
      </c>
      <c r="Z46" s="63">
        <v>0</v>
      </c>
      <c r="AA46" s="63">
        <f t="shared" si="6"/>
        <v>38</v>
      </c>
      <c r="AB46" s="29">
        <f t="shared" si="4"/>
        <v>19.3</v>
      </c>
      <c r="AC46" s="48">
        <f>826.98/(505/2)</f>
        <v>3.2751683168316834</v>
      </c>
      <c r="AD46" s="22">
        <v>51</v>
      </c>
      <c r="AE46" s="34">
        <v>48.8</v>
      </c>
      <c r="AF46" s="25">
        <v>0</v>
      </c>
      <c r="AG46" s="23">
        <v>0</v>
      </c>
      <c r="AH46" s="23">
        <f t="shared" si="1"/>
        <v>0</v>
      </c>
      <c r="AI46" s="26"/>
    </row>
    <row r="47" spans="1:40" ht="21.95" customHeight="1" x14ac:dyDescent="0.3">
      <c r="A47" s="19">
        <v>45</v>
      </c>
      <c r="B47" s="44">
        <v>2002</v>
      </c>
      <c r="C47" s="44" t="s">
        <v>1</v>
      </c>
      <c r="D47" s="44" t="s">
        <v>2</v>
      </c>
      <c r="E47" s="44" t="s">
        <v>61</v>
      </c>
      <c r="F47" s="44">
        <v>2002</v>
      </c>
      <c r="G47" s="44" t="s">
        <v>1</v>
      </c>
      <c r="H47" s="44" t="s">
        <v>2</v>
      </c>
      <c r="I47" s="44" t="s">
        <v>61</v>
      </c>
      <c r="J47" s="43" t="s">
        <v>26</v>
      </c>
      <c r="K47" s="63">
        <v>48</v>
      </c>
      <c r="L47" s="46">
        <f>28+27+31+28+34</f>
        <v>148</v>
      </c>
      <c r="M47" s="40">
        <v>7</v>
      </c>
      <c r="N47" s="63">
        <v>11</v>
      </c>
      <c r="O47" s="46">
        <f t="shared" si="5"/>
        <v>18</v>
      </c>
      <c r="P47" s="41">
        <v>3</v>
      </c>
      <c r="Q47" s="28">
        <v>0</v>
      </c>
      <c r="R47" s="28">
        <v>0</v>
      </c>
      <c r="S47" s="28">
        <v>0</v>
      </c>
      <c r="T47" s="28">
        <v>0</v>
      </c>
      <c r="U47" s="41">
        <v>1</v>
      </c>
      <c r="V47" s="41">
        <v>14</v>
      </c>
      <c r="W47" s="41"/>
      <c r="X47" s="40">
        <v>13</v>
      </c>
      <c r="Y47" s="63">
        <v>32</v>
      </c>
      <c r="Z47" s="63">
        <v>0</v>
      </c>
      <c r="AA47" s="63">
        <f t="shared" si="6"/>
        <v>45</v>
      </c>
      <c r="AB47" s="29">
        <f t="shared" si="4"/>
        <v>11.384615384615385</v>
      </c>
      <c r="AC47" s="48">
        <f>1696.6/300</f>
        <v>5.6553333333333331</v>
      </c>
      <c r="AD47" s="63">
        <v>55</v>
      </c>
      <c r="AE47" s="50">
        <v>62.1</v>
      </c>
      <c r="AF47" s="47">
        <v>25</v>
      </c>
      <c r="AG47" s="45">
        <v>4</v>
      </c>
      <c r="AH47" s="23">
        <f t="shared" si="1"/>
        <v>29</v>
      </c>
      <c r="AI47" s="26"/>
    </row>
    <row r="48" spans="1:40" ht="21.95" customHeight="1" x14ac:dyDescent="0.3">
      <c r="A48" s="19">
        <v>46</v>
      </c>
      <c r="B48" s="44">
        <v>2002</v>
      </c>
      <c r="C48" s="44" t="s">
        <v>127</v>
      </c>
      <c r="D48" s="44" t="s">
        <v>31</v>
      </c>
      <c r="E48" s="44" t="s">
        <v>48</v>
      </c>
      <c r="F48" s="44">
        <v>2002</v>
      </c>
      <c r="G48" s="44" t="s">
        <v>30</v>
      </c>
      <c r="H48" s="44" t="s">
        <v>31</v>
      </c>
      <c r="I48" s="44" t="s">
        <v>80</v>
      </c>
      <c r="J48" s="43" t="s">
        <v>81</v>
      </c>
      <c r="K48" s="63">
        <v>40</v>
      </c>
      <c r="L48" s="46">
        <f>43+65+53+55+40</f>
        <v>256</v>
      </c>
      <c r="M48" s="40">
        <v>12</v>
      </c>
      <c r="N48" s="63">
        <v>12</v>
      </c>
      <c r="O48" s="46">
        <f t="shared" si="5"/>
        <v>24</v>
      </c>
      <c r="P48" s="41">
        <v>17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41">
        <v>7</v>
      </c>
      <c r="W48" s="41"/>
      <c r="X48" s="40">
        <v>5</v>
      </c>
      <c r="Y48" s="63">
        <v>16</v>
      </c>
      <c r="Z48" s="63">
        <v>0</v>
      </c>
      <c r="AA48" s="63">
        <f t="shared" si="6"/>
        <v>21</v>
      </c>
      <c r="AB48" s="29">
        <f t="shared" si="4"/>
        <v>51.2</v>
      </c>
      <c r="AC48" s="48">
        <f>((174.6+170.3+143.7)*2+143.7+181.9+181.9+143.7+256.3+256.3)/339</f>
        <v>6.3156342182890857</v>
      </c>
      <c r="AD48" s="43">
        <v>54</v>
      </c>
      <c r="AE48" s="50">
        <v>56.8</v>
      </c>
      <c r="AF48" s="47">
        <v>12</v>
      </c>
      <c r="AG48" s="45">
        <v>5</v>
      </c>
      <c r="AH48" s="23">
        <f t="shared" si="1"/>
        <v>17</v>
      </c>
      <c r="AI48" s="26"/>
    </row>
    <row r="49" spans="1:40" ht="21.95" customHeight="1" x14ac:dyDescent="0.3">
      <c r="A49" s="19">
        <v>47</v>
      </c>
      <c r="B49" s="44">
        <v>2003</v>
      </c>
      <c r="C49" s="44" t="s">
        <v>1</v>
      </c>
      <c r="D49" s="44" t="s">
        <v>2</v>
      </c>
      <c r="E49" s="44" t="s">
        <v>48</v>
      </c>
      <c r="F49" s="44">
        <v>2003</v>
      </c>
      <c r="G49" s="44" t="s">
        <v>1</v>
      </c>
      <c r="H49" s="44" t="s">
        <v>2</v>
      </c>
      <c r="I49" s="44" t="s">
        <v>92</v>
      </c>
      <c r="J49" s="43" t="s">
        <v>44</v>
      </c>
      <c r="K49" s="63">
        <v>20</v>
      </c>
      <c r="L49" s="46">
        <f>17+24+37+22+30</f>
        <v>130</v>
      </c>
      <c r="M49" s="40">
        <v>9</v>
      </c>
      <c r="N49" s="63">
        <v>8</v>
      </c>
      <c r="O49" s="46">
        <f t="shared" si="5"/>
        <v>17</v>
      </c>
      <c r="P49" s="41">
        <v>9</v>
      </c>
      <c r="Q49" s="41">
        <v>3</v>
      </c>
      <c r="R49" s="28">
        <v>0</v>
      </c>
      <c r="S49" s="28">
        <v>0</v>
      </c>
      <c r="T49" s="28">
        <v>0</v>
      </c>
      <c r="U49" s="28">
        <v>0</v>
      </c>
      <c r="V49" s="41">
        <v>5</v>
      </c>
      <c r="W49" s="41"/>
      <c r="X49" s="40">
        <v>5</v>
      </c>
      <c r="Y49" s="63">
        <v>24</v>
      </c>
      <c r="Z49" s="63">
        <v>0</v>
      </c>
      <c r="AA49" s="63">
        <f t="shared" si="6"/>
        <v>29</v>
      </c>
      <c r="AB49" s="29">
        <f t="shared" si="4"/>
        <v>26</v>
      </c>
      <c r="AC49" s="48">
        <f>(154+154+218+218+154+154+131+131)/(31+29+38+33+32+32+22+21)</f>
        <v>5.5210084033613445</v>
      </c>
      <c r="AD49" s="63">
        <v>50</v>
      </c>
      <c r="AE49" s="50">
        <v>50.174999999999997</v>
      </c>
      <c r="AF49" s="47"/>
      <c r="AG49" s="45">
        <v>6</v>
      </c>
      <c r="AH49" s="23">
        <f t="shared" si="1"/>
        <v>6</v>
      </c>
      <c r="AI49" s="70"/>
      <c r="AL49" s="65"/>
      <c r="AM49" s="65"/>
      <c r="AN49" s="65"/>
    </row>
    <row r="50" spans="1:40" ht="21.95" customHeight="1" x14ac:dyDescent="0.3">
      <c r="A50" s="19">
        <v>48</v>
      </c>
      <c r="B50" s="39">
        <v>2002</v>
      </c>
      <c r="C50" s="39" t="s">
        <v>30</v>
      </c>
      <c r="D50" s="39" t="s">
        <v>31</v>
      </c>
      <c r="E50" s="39" t="s">
        <v>48</v>
      </c>
      <c r="F50" s="39">
        <v>2002</v>
      </c>
      <c r="G50" s="39" t="s">
        <v>30</v>
      </c>
      <c r="H50" s="39" t="s">
        <v>31</v>
      </c>
      <c r="I50" s="39" t="s">
        <v>48</v>
      </c>
      <c r="J50" s="38" t="s">
        <v>44</v>
      </c>
      <c r="K50" s="63">
        <v>36</v>
      </c>
      <c r="L50" s="46">
        <f>15+16+17+24+27</f>
        <v>99</v>
      </c>
      <c r="M50" s="40">
        <v>21</v>
      </c>
      <c r="N50" s="63">
        <v>23</v>
      </c>
      <c r="O50" s="46">
        <f t="shared" si="5"/>
        <v>44</v>
      </c>
      <c r="P50" s="41">
        <v>35</v>
      </c>
      <c r="Q50" s="41">
        <v>1</v>
      </c>
      <c r="R50" s="28">
        <v>0</v>
      </c>
      <c r="S50" s="41">
        <v>1</v>
      </c>
      <c r="T50" s="28">
        <v>0</v>
      </c>
      <c r="U50" s="28">
        <v>0</v>
      </c>
      <c r="V50" s="28">
        <v>0</v>
      </c>
      <c r="W50" s="41"/>
      <c r="X50" s="40">
        <v>6</v>
      </c>
      <c r="Y50" s="63">
        <v>23</v>
      </c>
      <c r="Z50" s="63">
        <v>0</v>
      </c>
      <c r="AA50" s="63">
        <f t="shared" si="6"/>
        <v>29</v>
      </c>
      <c r="AB50" s="29">
        <f t="shared" si="4"/>
        <v>16.5</v>
      </c>
      <c r="AC50" s="48">
        <f>1555.2/455</f>
        <v>3.418021978021978</v>
      </c>
      <c r="AD50" s="63">
        <v>50</v>
      </c>
      <c r="AE50" s="50">
        <v>39.799999999999997</v>
      </c>
      <c r="AF50" s="47">
        <v>39</v>
      </c>
      <c r="AG50" s="45">
        <v>14</v>
      </c>
      <c r="AH50" s="23">
        <f t="shared" si="1"/>
        <v>53</v>
      </c>
      <c r="AI50" s="26"/>
    </row>
    <row r="51" spans="1:40" ht="21.95" customHeight="1" x14ac:dyDescent="0.3">
      <c r="A51" s="19">
        <v>49</v>
      </c>
      <c r="B51" s="39">
        <v>2003</v>
      </c>
      <c r="C51" s="39" t="s">
        <v>30</v>
      </c>
      <c r="D51" s="39" t="s">
        <v>2</v>
      </c>
      <c r="E51" s="39" t="s">
        <v>33</v>
      </c>
      <c r="F51" s="39">
        <v>2003</v>
      </c>
      <c r="G51" s="39" t="s">
        <v>30</v>
      </c>
      <c r="H51" s="39" t="s">
        <v>2</v>
      </c>
      <c r="I51" s="39" t="s">
        <v>33</v>
      </c>
      <c r="J51" s="38" t="s">
        <v>26</v>
      </c>
      <c r="K51" s="63">
        <v>65</v>
      </c>
      <c r="L51" s="46">
        <f>45+47+40+49+43</f>
        <v>224</v>
      </c>
      <c r="M51" s="40">
        <v>26</v>
      </c>
      <c r="N51" s="63">
        <v>17</v>
      </c>
      <c r="O51" s="46">
        <f t="shared" si="5"/>
        <v>43</v>
      </c>
      <c r="P51" s="41">
        <v>34</v>
      </c>
      <c r="Q51" s="28">
        <v>0</v>
      </c>
      <c r="R51" s="28">
        <v>0</v>
      </c>
      <c r="S51" s="28">
        <v>0</v>
      </c>
      <c r="T51" s="28">
        <v>0</v>
      </c>
      <c r="U51" s="41">
        <v>7</v>
      </c>
      <c r="V51" s="41">
        <v>2</v>
      </c>
      <c r="W51" s="41"/>
      <c r="X51" s="40">
        <v>14</v>
      </c>
      <c r="Y51" s="63" t="s">
        <v>124</v>
      </c>
      <c r="Z51" s="63">
        <v>0</v>
      </c>
      <c r="AA51" s="63">
        <f t="shared" si="6"/>
        <v>14</v>
      </c>
      <c r="AB51" s="29">
        <f t="shared" si="4"/>
        <v>16</v>
      </c>
      <c r="AC51" s="48">
        <f>(93.95+93.95+98.18+98.18+154.41+154.41+114.31+14.38+98.18+98.18)/(47+47+41+39+41+42+41+39+40+47)</f>
        <v>2.4012500000000001</v>
      </c>
      <c r="AD51" s="43">
        <v>54</v>
      </c>
      <c r="AE51" s="98">
        <v>51.048000000000002</v>
      </c>
      <c r="AF51" s="47"/>
      <c r="AG51" s="45"/>
      <c r="AH51" s="23">
        <f t="shared" si="1"/>
        <v>0</v>
      </c>
      <c r="AI51" s="100" t="s">
        <v>120</v>
      </c>
    </row>
    <row r="52" spans="1:40" ht="21.95" customHeight="1" x14ac:dyDescent="0.3">
      <c r="A52" s="19">
        <v>50</v>
      </c>
      <c r="B52" s="39">
        <v>2003</v>
      </c>
      <c r="C52" s="39" t="s">
        <v>34</v>
      </c>
      <c r="D52" s="39" t="s">
        <v>31</v>
      </c>
      <c r="E52" s="39" t="s">
        <v>33</v>
      </c>
      <c r="F52" s="39">
        <v>2003</v>
      </c>
      <c r="G52" s="39" t="s">
        <v>82</v>
      </c>
      <c r="H52" s="39" t="s">
        <v>31</v>
      </c>
      <c r="I52" s="39" t="s">
        <v>33</v>
      </c>
      <c r="J52" s="38" t="s">
        <v>91</v>
      </c>
      <c r="K52" s="63">
        <v>41</v>
      </c>
      <c r="L52" s="46">
        <f>38+20+26+24+33</f>
        <v>141</v>
      </c>
      <c r="M52" s="40">
        <v>11</v>
      </c>
      <c r="N52" s="63">
        <v>15</v>
      </c>
      <c r="O52" s="46">
        <f t="shared" si="5"/>
        <v>26</v>
      </c>
      <c r="P52" s="41">
        <v>19</v>
      </c>
      <c r="Q52" s="28">
        <v>0</v>
      </c>
      <c r="R52" s="41">
        <v>1</v>
      </c>
      <c r="S52" s="28">
        <v>0</v>
      </c>
      <c r="T52" s="28">
        <v>0</v>
      </c>
      <c r="U52" s="28">
        <v>0</v>
      </c>
      <c r="V52" s="41">
        <v>3</v>
      </c>
      <c r="W52" s="41"/>
      <c r="X52" s="40">
        <v>11</v>
      </c>
      <c r="Y52" s="63">
        <v>16</v>
      </c>
      <c r="Z52" s="63">
        <v>0</v>
      </c>
      <c r="AA52" s="63">
        <f t="shared" si="6"/>
        <v>27</v>
      </c>
      <c r="AB52" s="29">
        <f t="shared" si="4"/>
        <v>12.818181818181818</v>
      </c>
      <c r="AC52" s="48">
        <f>836.52/260</f>
        <v>3.2173846153846153</v>
      </c>
      <c r="AD52" s="22">
        <v>51</v>
      </c>
      <c r="AE52" s="98">
        <v>50.74</v>
      </c>
      <c r="AF52" s="47">
        <v>20</v>
      </c>
      <c r="AG52" s="45">
        <v>5</v>
      </c>
      <c r="AH52" s="23">
        <f t="shared" si="1"/>
        <v>25</v>
      </c>
      <c r="AI52" s="26"/>
    </row>
    <row r="53" spans="1:40" ht="21.95" customHeight="1" x14ac:dyDescent="0.3">
      <c r="A53" s="19">
        <v>51</v>
      </c>
      <c r="B53" s="44">
        <v>2002</v>
      </c>
      <c r="C53" s="44" t="s">
        <v>30</v>
      </c>
      <c r="D53" s="44" t="s">
        <v>31</v>
      </c>
      <c r="E53" s="44" t="s">
        <v>33</v>
      </c>
      <c r="F53" s="44">
        <v>2002</v>
      </c>
      <c r="G53" s="44" t="s">
        <v>30</v>
      </c>
      <c r="H53" s="44" t="s">
        <v>31</v>
      </c>
      <c r="I53" s="44" t="s">
        <v>33</v>
      </c>
      <c r="J53" s="43" t="s">
        <v>26</v>
      </c>
      <c r="K53" s="63">
        <v>36</v>
      </c>
      <c r="L53" s="46">
        <f>68+42+34+43+52</f>
        <v>239</v>
      </c>
      <c r="M53" s="40">
        <v>26</v>
      </c>
      <c r="N53" s="63">
        <v>16</v>
      </c>
      <c r="O53" s="46">
        <f t="shared" si="5"/>
        <v>42</v>
      </c>
      <c r="P53" s="41">
        <v>21</v>
      </c>
      <c r="Q53" s="41">
        <v>3</v>
      </c>
      <c r="R53" s="28">
        <v>0</v>
      </c>
      <c r="S53" s="28">
        <v>1</v>
      </c>
      <c r="T53" s="28">
        <v>0</v>
      </c>
      <c r="U53" s="28">
        <v>0</v>
      </c>
      <c r="V53" s="41">
        <v>18</v>
      </c>
      <c r="W53" s="41"/>
      <c r="X53" s="40">
        <v>10</v>
      </c>
      <c r="Y53" s="63">
        <v>22</v>
      </c>
      <c r="Z53" s="63">
        <v>0</v>
      </c>
      <c r="AA53" s="63">
        <f t="shared" si="6"/>
        <v>32</v>
      </c>
      <c r="AB53" s="29">
        <f t="shared" si="4"/>
        <v>23.9</v>
      </c>
      <c r="AC53" s="48">
        <f>626.4/540</f>
        <v>1.1599999999999999</v>
      </c>
      <c r="AD53" s="63">
        <v>46</v>
      </c>
      <c r="AE53" s="50">
        <v>42.9</v>
      </c>
      <c r="AF53" s="47">
        <v>1</v>
      </c>
      <c r="AG53" s="45">
        <v>1</v>
      </c>
      <c r="AH53" s="23">
        <f t="shared" si="1"/>
        <v>2</v>
      </c>
      <c r="AI53" s="26"/>
    </row>
    <row r="54" spans="1:40" ht="21.95" customHeight="1" x14ac:dyDescent="0.3">
      <c r="A54" s="19">
        <v>52</v>
      </c>
      <c r="B54" s="39">
        <v>2002</v>
      </c>
      <c r="C54" s="39" t="s">
        <v>1</v>
      </c>
      <c r="D54" s="39" t="s">
        <v>2</v>
      </c>
      <c r="E54" s="39" t="s">
        <v>48</v>
      </c>
      <c r="F54" s="39">
        <v>2002</v>
      </c>
      <c r="G54" s="39" t="s">
        <v>1</v>
      </c>
      <c r="H54" s="39" t="s">
        <v>2</v>
      </c>
      <c r="I54" s="39" t="s">
        <v>113</v>
      </c>
      <c r="J54" s="38" t="s">
        <v>44</v>
      </c>
      <c r="K54" s="63">
        <v>27</v>
      </c>
      <c r="L54" s="46">
        <f>24+29+26+40+47</f>
        <v>166</v>
      </c>
      <c r="M54" s="40">
        <v>19</v>
      </c>
      <c r="N54" s="63">
        <v>7</v>
      </c>
      <c r="O54" s="46">
        <f t="shared" si="5"/>
        <v>26</v>
      </c>
      <c r="P54" s="41">
        <v>16</v>
      </c>
      <c r="Q54" s="41">
        <v>1</v>
      </c>
      <c r="R54" s="28">
        <v>0</v>
      </c>
      <c r="S54" s="41">
        <v>1</v>
      </c>
      <c r="T54" s="28">
        <v>0</v>
      </c>
      <c r="U54" s="41">
        <v>1</v>
      </c>
      <c r="V54" s="28">
        <v>0</v>
      </c>
      <c r="W54" s="41"/>
      <c r="X54" s="40">
        <v>7</v>
      </c>
      <c r="Y54" s="63">
        <v>15</v>
      </c>
      <c r="Z54" s="63">
        <v>0</v>
      </c>
      <c r="AA54" s="63">
        <f t="shared" si="6"/>
        <v>22</v>
      </c>
      <c r="AB54" s="29">
        <f t="shared" si="4"/>
        <v>23.714285714285715</v>
      </c>
      <c r="AC54" s="48">
        <f>(118.8+118.8+153.3+153.3+153.3+153.3+153.3+153.3+432+432)/(34+32+37+36+34+35+31+31+32+36)</f>
        <v>5.9804733727810646</v>
      </c>
      <c r="AD54" s="63">
        <v>60</v>
      </c>
      <c r="AE54" s="50">
        <v>60.3</v>
      </c>
      <c r="AF54" s="47">
        <v>32</v>
      </c>
      <c r="AG54" s="45">
        <v>4</v>
      </c>
      <c r="AH54" s="23">
        <f t="shared" si="1"/>
        <v>36</v>
      </c>
      <c r="AI54" s="26"/>
      <c r="AL54" s="67"/>
      <c r="AM54" s="67"/>
      <c r="AN54" s="67"/>
    </row>
    <row r="55" spans="1:40" ht="21.95" customHeight="1" x14ac:dyDescent="0.3">
      <c r="A55" s="19">
        <v>53</v>
      </c>
      <c r="B55" s="49">
        <v>2002</v>
      </c>
      <c r="C55" s="49" t="s">
        <v>27</v>
      </c>
      <c r="D55" s="39" t="s">
        <v>2</v>
      </c>
      <c r="E55" s="39" t="s">
        <v>3</v>
      </c>
      <c r="F55" s="49">
        <v>2002</v>
      </c>
      <c r="G55" s="49" t="s">
        <v>27</v>
      </c>
      <c r="H55" s="39" t="s">
        <v>2</v>
      </c>
      <c r="I55" s="39" t="s">
        <v>3</v>
      </c>
      <c r="J55" s="38" t="s">
        <v>0</v>
      </c>
      <c r="K55" s="63">
        <v>30</v>
      </c>
      <c r="L55" s="46">
        <f>29+30+33+38+45</f>
        <v>175</v>
      </c>
      <c r="M55" s="40">
        <v>22</v>
      </c>
      <c r="N55" s="63">
        <v>21</v>
      </c>
      <c r="O55" s="46">
        <f t="shared" si="5"/>
        <v>43</v>
      </c>
      <c r="P55" s="41">
        <v>27</v>
      </c>
      <c r="Q55" s="41">
        <v>1</v>
      </c>
      <c r="R55" s="28">
        <v>0</v>
      </c>
      <c r="S55" s="28">
        <v>0</v>
      </c>
      <c r="T55" s="28">
        <v>0</v>
      </c>
      <c r="U55" s="41">
        <v>5</v>
      </c>
      <c r="V55" s="41">
        <v>8</v>
      </c>
      <c r="W55" s="41"/>
      <c r="X55" s="40">
        <v>6</v>
      </c>
      <c r="Y55" s="63">
        <v>30</v>
      </c>
      <c r="Z55" s="63">
        <v>0</v>
      </c>
      <c r="AA55" s="63">
        <f t="shared" si="6"/>
        <v>36</v>
      </c>
      <c r="AB55" s="50">
        <f t="shared" si="4"/>
        <v>29.166666666666668</v>
      </c>
      <c r="AC55" s="48">
        <f>1792.16/361</f>
        <v>4.9644321329639896</v>
      </c>
      <c r="AD55" s="63">
        <v>54</v>
      </c>
      <c r="AE55" s="50">
        <v>54.6</v>
      </c>
      <c r="AF55" s="47">
        <v>24</v>
      </c>
      <c r="AG55" s="45">
        <v>5</v>
      </c>
      <c r="AH55" s="23">
        <f t="shared" si="1"/>
        <v>29</v>
      </c>
      <c r="AI55" s="26"/>
    </row>
    <row r="56" spans="1:40" ht="21.95" customHeight="1" x14ac:dyDescent="0.3">
      <c r="A56" s="19">
        <v>54</v>
      </c>
      <c r="B56" s="27">
        <v>2002</v>
      </c>
      <c r="C56" s="27" t="s">
        <v>34</v>
      </c>
      <c r="D56" s="27" t="s">
        <v>31</v>
      </c>
      <c r="E56" s="27" t="s">
        <v>3</v>
      </c>
      <c r="F56" s="27">
        <v>2002</v>
      </c>
      <c r="G56" s="27" t="s">
        <v>34</v>
      </c>
      <c r="H56" s="27" t="s">
        <v>31</v>
      </c>
      <c r="I56" s="27" t="s">
        <v>3</v>
      </c>
      <c r="J56" s="31" t="s">
        <v>26</v>
      </c>
      <c r="K56" s="22">
        <v>17</v>
      </c>
      <c r="L56" s="24">
        <f>21+21+20+19+20</f>
        <v>101</v>
      </c>
      <c r="M56" s="26">
        <v>10</v>
      </c>
      <c r="N56" s="22">
        <v>1</v>
      </c>
      <c r="O56" s="24">
        <f t="shared" si="5"/>
        <v>11</v>
      </c>
      <c r="P56" s="28">
        <v>10</v>
      </c>
      <c r="Q56" s="28">
        <v>0</v>
      </c>
      <c r="R56" s="28">
        <v>0</v>
      </c>
      <c r="S56" s="28">
        <v>1</v>
      </c>
      <c r="T56" s="28">
        <v>0</v>
      </c>
      <c r="U56" s="28">
        <v>0</v>
      </c>
      <c r="V56" s="28">
        <v>0</v>
      </c>
      <c r="W56" s="28"/>
      <c r="X56" s="26">
        <v>6</v>
      </c>
      <c r="Y56" s="22">
        <v>10</v>
      </c>
      <c r="Z56" s="22">
        <v>0</v>
      </c>
      <c r="AA56" s="22">
        <f t="shared" si="6"/>
        <v>16</v>
      </c>
      <c r="AB56" s="29">
        <f t="shared" si="4"/>
        <v>16.833333333333332</v>
      </c>
      <c r="AC56" s="30">
        <f>(89.68+86.4+84.52+86.4+125.28+125.28+93.96+93.96+49.12+86.4)/(25+22+14+15+21+21+12+11+16+19)</f>
        <v>5.2329545454545459</v>
      </c>
      <c r="AD56" s="22">
        <v>56</v>
      </c>
      <c r="AE56" s="29">
        <v>71.2</v>
      </c>
      <c r="AF56" s="25">
        <v>39</v>
      </c>
      <c r="AG56" s="23">
        <v>4</v>
      </c>
      <c r="AH56" s="23">
        <f t="shared" si="1"/>
        <v>43</v>
      </c>
      <c r="AI56" s="26"/>
    </row>
    <row r="57" spans="1:40" ht="21.95" customHeight="1" x14ac:dyDescent="0.3">
      <c r="A57" s="19">
        <v>55</v>
      </c>
      <c r="B57" s="21">
        <v>2003</v>
      </c>
      <c r="C57" s="21" t="s">
        <v>1</v>
      </c>
      <c r="D57" s="21" t="s">
        <v>62</v>
      </c>
      <c r="E57" s="21" t="s">
        <v>3</v>
      </c>
      <c r="F57" s="21">
        <v>2003</v>
      </c>
      <c r="G57" s="21" t="s">
        <v>1</v>
      </c>
      <c r="H57" s="21" t="s">
        <v>62</v>
      </c>
      <c r="I57" s="21" t="s">
        <v>3</v>
      </c>
      <c r="J57" s="20" t="s">
        <v>26</v>
      </c>
      <c r="K57" s="22">
        <v>27</v>
      </c>
      <c r="L57" s="24">
        <f>71+21+33+33+35</f>
        <v>193</v>
      </c>
      <c r="M57" s="26">
        <v>20</v>
      </c>
      <c r="N57" s="22">
        <v>12</v>
      </c>
      <c r="O57" s="24">
        <f>SUM(M57:N57)</f>
        <v>32</v>
      </c>
      <c r="P57" s="28">
        <v>28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4</v>
      </c>
      <c r="W57" s="28"/>
      <c r="X57" s="26">
        <v>7</v>
      </c>
      <c r="Y57" s="22">
        <v>13</v>
      </c>
      <c r="Z57" s="22">
        <v>0</v>
      </c>
      <c r="AA57" s="22">
        <f t="shared" si="6"/>
        <v>20</v>
      </c>
      <c r="AB57" s="29">
        <f t="shared" si="4"/>
        <v>27.571428571428573</v>
      </c>
      <c r="AC57" s="30">
        <f>1705/390</f>
        <v>4.3717948717948714</v>
      </c>
      <c r="AD57" s="22">
        <v>54</v>
      </c>
      <c r="AE57" s="29">
        <v>69.5</v>
      </c>
      <c r="AF57" s="25">
        <v>24</v>
      </c>
      <c r="AG57" s="23">
        <v>5</v>
      </c>
      <c r="AH57" s="23">
        <f t="shared" si="1"/>
        <v>29</v>
      </c>
      <c r="AI57" s="26"/>
    </row>
    <row r="58" spans="1:40" ht="21.95" customHeight="1" x14ac:dyDescent="0.3">
      <c r="A58" s="19">
        <v>56</v>
      </c>
      <c r="B58" s="21">
        <v>2002</v>
      </c>
      <c r="C58" s="21" t="s">
        <v>34</v>
      </c>
      <c r="D58" s="21" t="s">
        <v>64</v>
      </c>
      <c r="E58" s="21" t="s">
        <v>65</v>
      </c>
      <c r="F58" s="21">
        <v>2002</v>
      </c>
      <c r="G58" s="21" t="s">
        <v>63</v>
      </c>
      <c r="H58" s="21" t="s">
        <v>64</v>
      </c>
      <c r="I58" s="21" t="s">
        <v>65</v>
      </c>
      <c r="J58" s="20" t="s">
        <v>66</v>
      </c>
      <c r="K58" s="22">
        <v>20</v>
      </c>
      <c r="L58" s="24">
        <f>22+20+12+15+24</f>
        <v>93</v>
      </c>
      <c r="M58" s="26">
        <v>5</v>
      </c>
      <c r="N58" s="22">
        <v>6</v>
      </c>
      <c r="O58" s="24">
        <f t="shared" ref="O58:O65" si="7">SUM(M58:N58)</f>
        <v>11</v>
      </c>
      <c r="P58" s="28">
        <v>9</v>
      </c>
      <c r="Q58" s="28">
        <v>0</v>
      </c>
      <c r="R58" s="28">
        <v>0</v>
      </c>
      <c r="S58" s="28">
        <v>0</v>
      </c>
      <c r="T58" s="28">
        <v>0</v>
      </c>
      <c r="U58" s="28">
        <v>1</v>
      </c>
      <c r="V58" s="28">
        <v>1</v>
      </c>
      <c r="W58" s="28"/>
      <c r="X58" s="26">
        <v>6</v>
      </c>
      <c r="Y58" s="22">
        <v>2</v>
      </c>
      <c r="Z58" s="22">
        <v>0</v>
      </c>
      <c r="AA58" s="22">
        <f t="shared" si="6"/>
        <v>8</v>
      </c>
      <c r="AB58" s="29">
        <f t="shared" si="4"/>
        <v>15.5</v>
      </c>
      <c r="AC58" s="30">
        <f>(14*8)/(4*8)</f>
        <v>3.5</v>
      </c>
      <c r="AD58" s="22">
        <v>56</v>
      </c>
      <c r="AE58" s="29">
        <v>139.19999999999999</v>
      </c>
      <c r="AF58" s="25"/>
      <c r="AG58" s="23"/>
      <c r="AH58" s="23">
        <f t="shared" si="1"/>
        <v>0</v>
      </c>
      <c r="AI58" s="100" t="s">
        <v>120</v>
      </c>
    </row>
    <row r="59" spans="1:40" ht="21.95" customHeight="1" x14ac:dyDescent="0.3">
      <c r="A59" s="19">
        <v>57</v>
      </c>
      <c r="B59" s="21">
        <v>2003</v>
      </c>
      <c r="C59" s="21" t="s">
        <v>30</v>
      </c>
      <c r="D59" s="21" t="s">
        <v>31</v>
      </c>
      <c r="E59" s="21" t="s">
        <v>48</v>
      </c>
      <c r="F59" s="21">
        <v>2003</v>
      </c>
      <c r="G59" s="21" t="s">
        <v>30</v>
      </c>
      <c r="H59" s="21" t="s">
        <v>31</v>
      </c>
      <c r="I59" s="21" t="s">
        <v>67</v>
      </c>
      <c r="J59" s="20" t="s">
        <v>66</v>
      </c>
      <c r="K59" s="22">
        <v>33</v>
      </c>
      <c r="L59" s="24">
        <f>38+18+34+28+41</f>
        <v>159</v>
      </c>
      <c r="M59" s="26">
        <v>18</v>
      </c>
      <c r="N59" s="22">
        <v>19</v>
      </c>
      <c r="O59" s="24">
        <f t="shared" si="7"/>
        <v>37</v>
      </c>
      <c r="P59" s="28">
        <v>12</v>
      </c>
      <c r="Q59" s="28">
        <v>0</v>
      </c>
      <c r="R59" s="28">
        <v>0</v>
      </c>
      <c r="S59" s="28">
        <v>0</v>
      </c>
      <c r="T59" s="28">
        <v>0</v>
      </c>
      <c r="U59" s="28">
        <v>3</v>
      </c>
      <c r="V59" s="28">
        <v>0</v>
      </c>
      <c r="W59" s="28"/>
      <c r="X59" s="26">
        <v>9</v>
      </c>
      <c r="Y59" s="22">
        <v>13</v>
      </c>
      <c r="Z59" s="22">
        <v>0</v>
      </c>
      <c r="AA59" s="22">
        <f t="shared" si="6"/>
        <v>22</v>
      </c>
      <c r="AB59" s="29">
        <f t="shared" si="4"/>
        <v>17.666666666666668</v>
      </c>
      <c r="AC59" s="30">
        <f>1618/336</f>
        <v>4.8154761904761907</v>
      </c>
      <c r="AD59" s="20">
        <v>48</v>
      </c>
      <c r="AE59" s="29">
        <v>48.6</v>
      </c>
      <c r="AF59" s="25">
        <v>15</v>
      </c>
      <c r="AG59" s="23">
        <v>2</v>
      </c>
      <c r="AH59" s="23">
        <f t="shared" si="1"/>
        <v>17</v>
      </c>
      <c r="AI59" s="26"/>
    </row>
    <row r="60" spans="1:40" ht="21.95" customHeight="1" x14ac:dyDescent="0.3">
      <c r="A60" s="33">
        <v>58</v>
      </c>
      <c r="B60" s="27">
        <v>2003</v>
      </c>
      <c r="C60" s="27" t="s">
        <v>1</v>
      </c>
      <c r="D60" s="27" t="s">
        <v>43</v>
      </c>
      <c r="E60" s="27" t="s">
        <v>48</v>
      </c>
      <c r="F60" s="27">
        <v>2003</v>
      </c>
      <c r="G60" s="27" t="s">
        <v>1</v>
      </c>
      <c r="H60" s="27" t="s">
        <v>43</v>
      </c>
      <c r="I60" s="27" t="s">
        <v>71</v>
      </c>
      <c r="J60" s="22" t="s">
        <v>44</v>
      </c>
      <c r="K60" s="22">
        <v>24</v>
      </c>
      <c r="L60" s="24">
        <f>24+25+21+33+37</f>
        <v>140</v>
      </c>
      <c r="M60" s="26">
        <v>20</v>
      </c>
      <c r="N60" s="22">
        <v>15</v>
      </c>
      <c r="O60" s="24">
        <f t="shared" si="7"/>
        <v>35</v>
      </c>
      <c r="P60" s="28">
        <v>32</v>
      </c>
      <c r="Q60" s="28">
        <v>0</v>
      </c>
      <c r="R60" s="28">
        <v>0</v>
      </c>
      <c r="S60" s="28">
        <v>0</v>
      </c>
      <c r="T60" s="28">
        <v>1</v>
      </c>
      <c r="U60" s="28">
        <v>1</v>
      </c>
      <c r="V60" s="28">
        <v>1</v>
      </c>
      <c r="W60" s="28"/>
      <c r="X60" s="26">
        <v>6</v>
      </c>
      <c r="Y60" s="22">
        <v>18</v>
      </c>
      <c r="Z60" s="22">
        <v>0</v>
      </c>
      <c r="AA60" s="22">
        <f t="shared" si="6"/>
        <v>24</v>
      </c>
      <c r="AB60" s="29">
        <f t="shared" si="4"/>
        <v>23.333333333333332</v>
      </c>
      <c r="AC60" s="30">
        <f>(129.6+129.6+280.8+280.8+280.8+280.8+280.8+280.8+108+108)/(28+29+30+25+31+32+36+35+22+23)</f>
        <v>7.4226804123711343</v>
      </c>
      <c r="AD60" s="20">
        <v>48</v>
      </c>
      <c r="AE60" s="29">
        <v>49.8</v>
      </c>
      <c r="AF60" s="25">
        <v>26</v>
      </c>
      <c r="AG60" s="23">
        <v>3</v>
      </c>
      <c r="AH60" s="23">
        <f t="shared" si="1"/>
        <v>29</v>
      </c>
      <c r="AI60" s="26"/>
    </row>
    <row r="61" spans="1:40" ht="21.95" customHeight="1" x14ac:dyDescent="0.3">
      <c r="A61" s="19">
        <v>59</v>
      </c>
      <c r="B61" s="21">
        <v>2002</v>
      </c>
      <c r="C61" s="21" t="s">
        <v>4</v>
      </c>
      <c r="D61" s="21" t="s">
        <v>31</v>
      </c>
      <c r="E61" s="21" t="s">
        <v>48</v>
      </c>
      <c r="F61" s="21">
        <v>2002</v>
      </c>
      <c r="G61" s="21" t="s">
        <v>4</v>
      </c>
      <c r="H61" s="21" t="s">
        <v>109</v>
      </c>
      <c r="I61" s="21" t="s">
        <v>67</v>
      </c>
      <c r="J61" s="20" t="s">
        <v>26</v>
      </c>
      <c r="K61" s="22">
        <v>57</v>
      </c>
      <c r="L61" s="24">
        <f>48+49+62+51+82</f>
        <v>292</v>
      </c>
      <c r="M61" s="26">
        <v>34</v>
      </c>
      <c r="N61" s="22">
        <v>19</v>
      </c>
      <c r="O61" s="24">
        <f t="shared" si="7"/>
        <v>53</v>
      </c>
      <c r="P61" s="28"/>
      <c r="Q61" s="28"/>
      <c r="R61" s="28"/>
      <c r="S61" s="28"/>
      <c r="T61" s="28"/>
      <c r="U61" s="28"/>
      <c r="V61" s="28"/>
      <c r="W61" s="28"/>
      <c r="X61" s="26">
        <v>13</v>
      </c>
      <c r="Y61" s="22">
        <v>47</v>
      </c>
      <c r="Z61" s="22">
        <v>0</v>
      </c>
      <c r="AA61" s="22">
        <f t="shared" si="6"/>
        <v>60</v>
      </c>
      <c r="AB61" s="29">
        <f t="shared" si="4"/>
        <v>22.46153846153846</v>
      </c>
      <c r="AC61" s="30">
        <v>4.62</v>
      </c>
      <c r="AD61" s="22">
        <v>54</v>
      </c>
      <c r="AE61" s="29">
        <v>41.730000000000004</v>
      </c>
      <c r="AF61" s="25"/>
      <c r="AG61" s="23">
        <v>2</v>
      </c>
      <c r="AH61" s="23">
        <f t="shared" si="1"/>
        <v>2</v>
      </c>
      <c r="AI61" s="100" t="s">
        <v>131</v>
      </c>
    </row>
    <row r="62" spans="1:40" ht="21.95" customHeight="1" x14ac:dyDescent="0.3">
      <c r="A62" s="19">
        <v>60</v>
      </c>
      <c r="B62" s="21">
        <v>2002</v>
      </c>
      <c r="C62" s="21" t="s">
        <v>4</v>
      </c>
      <c r="D62" s="21" t="s">
        <v>2</v>
      </c>
      <c r="E62" s="21" t="s">
        <v>3</v>
      </c>
      <c r="F62" s="21">
        <v>2002</v>
      </c>
      <c r="G62" s="21" t="s">
        <v>4</v>
      </c>
      <c r="H62" s="21" t="s">
        <v>2</v>
      </c>
      <c r="I62" s="21" t="s">
        <v>3</v>
      </c>
      <c r="J62" s="20" t="s">
        <v>26</v>
      </c>
      <c r="K62" s="22">
        <v>33</v>
      </c>
      <c r="L62" s="24">
        <f>68+31+40+31+31</f>
        <v>201</v>
      </c>
      <c r="M62" s="26">
        <v>13</v>
      </c>
      <c r="N62" s="22">
        <v>15</v>
      </c>
      <c r="O62" s="24">
        <f t="shared" si="7"/>
        <v>28</v>
      </c>
      <c r="P62" s="28"/>
      <c r="Q62" s="28"/>
      <c r="R62" s="28"/>
      <c r="S62" s="28"/>
      <c r="T62" s="28"/>
      <c r="U62" s="28"/>
      <c r="V62" s="28"/>
      <c r="W62" s="28"/>
      <c r="X62" s="26">
        <v>14</v>
      </c>
      <c r="Y62" s="22">
        <v>35</v>
      </c>
      <c r="Z62" s="22">
        <v>0</v>
      </c>
      <c r="AA62" s="22">
        <f t="shared" si="6"/>
        <v>49</v>
      </c>
      <c r="AB62" s="29">
        <f t="shared" si="4"/>
        <v>14.357142857142858</v>
      </c>
      <c r="AC62" s="30">
        <v>4.836325678496868</v>
      </c>
      <c r="AD62" s="22"/>
      <c r="AE62" s="29">
        <v>29.4</v>
      </c>
      <c r="AF62" s="25">
        <v>19</v>
      </c>
      <c r="AG62" s="23">
        <v>2</v>
      </c>
      <c r="AH62" s="23">
        <f t="shared" si="1"/>
        <v>21</v>
      </c>
      <c r="AI62" s="100" t="s">
        <v>131</v>
      </c>
    </row>
    <row r="63" spans="1:40" ht="21.95" customHeight="1" x14ac:dyDescent="0.3">
      <c r="A63" s="19">
        <v>61</v>
      </c>
      <c r="B63" s="51">
        <v>2002</v>
      </c>
      <c r="C63" s="44" t="s">
        <v>4</v>
      </c>
      <c r="D63" s="44" t="s">
        <v>2</v>
      </c>
      <c r="E63" s="44" t="s">
        <v>48</v>
      </c>
      <c r="F63" s="51">
        <v>2002</v>
      </c>
      <c r="G63" s="44" t="s">
        <v>4</v>
      </c>
      <c r="H63" s="44" t="s">
        <v>2</v>
      </c>
      <c r="I63" s="44" t="s">
        <v>68</v>
      </c>
      <c r="J63" s="43" t="s">
        <v>44</v>
      </c>
      <c r="K63" s="63">
        <v>38</v>
      </c>
      <c r="L63" s="46">
        <f>43+40+41+40+39</f>
        <v>203</v>
      </c>
      <c r="M63" s="40">
        <v>19</v>
      </c>
      <c r="N63" s="63">
        <v>25</v>
      </c>
      <c r="O63" s="46">
        <f t="shared" si="7"/>
        <v>44</v>
      </c>
      <c r="P63" s="41">
        <v>16</v>
      </c>
      <c r="Q63" s="28">
        <v>0</v>
      </c>
      <c r="R63" s="28">
        <v>0</v>
      </c>
      <c r="S63" s="28">
        <v>0</v>
      </c>
      <c r="T63" s="41">
        <v>1</v>
      </c>
      <c r="U63" s="28">
        <v>0</v>
      </c>
      <c r="V63" s="41">
        <v>25</v>
      </c>
      <c r="W63" s="41"/>
      <c r="X63" s="40">
        <v>6</v>
      </c>
      <c r="Y63" s="63">
        <v>20</v>
      </c>
      <c r="Z63" s="63">
        <v>0</v>
      </c>
      <c r="AA63" s="63">
        <f t="shared" si="6"/>
        <v>26</v>
      </c>
      <c r="AB63" s="50">
        <f t="shared" si="4"/>
        <v>33.833333333333336</v>
      </c>
      <c r="AC63" s="48">
        <v>5.0560835509138382</v>
      </c>
      <c r="AD63" s="63">
        <v>52</v>
      </c>
      <c r="AE63" s="50">
        <v>96.2</v>
      </c>
      <c r="AF63" s="47">
        <v>28</v>
      </c>
      <c r="AG63" s="45">
        <v>3</v>
      </c>
      <c r="AH63" s="23">
        <f t="shared" si="1"/>
        <v>31</v>
      </c>
      <c r="AI63" s="40"/>
    </row>
    <row r="64" spans="1:40" ht="21.95" customHeight="1" x14ac:dyDescent="0.3">
      <c r="A64" s="19">
        <v>62</v>
      </c>
      <c r="B64" s="51">
        <v>2002</v>
      </c>
      <c r="C64" s="44" t="s">
        <v>4</v>
      </c>
      <c r="D64" s="44" t="s">
        <v>69</v>
      </c>
      <c r="E64" s="44" t="s">
        <v>70</v>
      </c>
      <c r="F64" s="51">
        <v>2002</v>
      </c>
      <c r="G64" s="44" t="s">
        <v>4</v>
      </c>
      <c r="H64" s="44" t="s">
        <v>69</v>
      </c>
      <c r="I64" s="44" t="s">
        <v>70</v>
      </c>
      <c r="J64" s="43" t="s">
        <v>26</v>
      </c>
      <c r="K64" s="63">
        <v>46</v>
      </c>
      <c r="L64" s="46">
        <f>55+54+108+81+86</f>
        <v>384</v>
      </c>
      <c r="M64" s="40">
        <v>43</v>
      </c>
      <c r="N64" s="63">
        <v>28</v>
      </c>
      <c r="O64" s="46">
        <f t="shared" si="7"/>
        <v>71</v>
      </c>
      <c r="P64" s="41">
        <v>23</v>
      </c>
      <c r="Q64" s="41">
        <v>3</v>
      </c>
      <c r="R64" s="41">
        <v>0</v>
      </c>
      <c r="S64" s="41">
        <v>1</v>
      </c>
      <c r="T64" s="41">
        <v>3</v>
      </c>
      <c r="U64" s="41">
        <v>5</v>
      </c>
      <c r="V64" s="41">
        <v>36</v>
      </c>
      <c r="W64" s="41"/>
      <c r="X64" s="40">
        <v>28</v>
      </c>
      <c r="Y64" s="63">
        <v>64</v>
      </c>
      <c r="Z64" s="63">
        <v>0</v>
      </c>
      <c r="AA64" s="63">
        <f t="shared" si="6"/>
        <v>92</v>
      </c>
      <c r="AB64" s="50">
        <f t="shared" si="4"/>
        <v>13.714285714285714</v>
      </c>
      <c r="AC64" s="48">
        <v>3.9697455230914227</v>
      </c>
      <c r="AD64" s="63">
        <v>57</v>
      </c>
      <c r="AE64" s="50">
        <v>47.8</v>
      </c>
      <c r="AF64" s="47">
        <v>21</v>
      </c>
      <c r="AG64" s="45">
        <v>1</v>
      </c>
      <c r="AH64" s="23">
        <f t="shared" si="1"/>
        <v>22</v>
      </c>
      <c r="AI64" s="70"/>
    </row>
    <row r="65" spans="1:35" ht="21.95" customHeight="1" x14ac:dyDescent="0.3">
      <c r="A65" s="19">
        <v>63</v>
      </c>
      <c r="B65" s="64">
        <v>2005</v>
      </c>
      <c r="C65" s="27" t="s">
        <v>30</v>
      </c>
      <c r="D65" s="27" t="s">
        <v>32</v>
      </c>
      <c r="E65" s="27" t="s">
        <v>33</v>
      </c>
      <c r="F65" s="64">
        <v>2005</v>
      </c>
      <c r="G65" s="27" t="s">
        <v>30</v>
      </c>
      <c r="H65" s="27" t="s">
        <v>32</v>
      </c>
      <c r="I65" s="27" t="s">
        <v>33</v>
      </c>
      <c r="J65" s="22" t="s">
        <v>26</v>
      </c>
      <c r="K65" s="22">
        <v>56</v>
      </c>
      <c r="L65" s="24">
        <f>53+48+57+47+49</f>
        <v>254</v>
      </c>
      <c r="M65" s="26">
        <v>29</v>
      </c>
      <c r="N65" s="22">
        <v>13</v>
      </c>
      <c r="O65" s="46">
        <f t="shared" si="7"/>
        <v>42</v>
      </c>
      <c r="P65" s="28">
        <v>22</v>
      </c>
      <c r="Q65" s="28">
        <v>6</v>
      </c>
      <c r="R65" s="41">
        <v>0</v>
      </c>
      <c r="S65" s="41">
        <v>0</v>
      </c>
      <c r="T65" s="28">
        <v>2</v>
      </c>
      <c r="U65" s="28">
        <v>8</v>
      </c>
      <c r="V65" s="28">
        <v>3</v>
      </c>
      <c r="W65" s="28"/>
      <c r="X65" s="26">
        <v>18</v>
      </c>
      <c r="Y65" s="22">
        <v>17</v>
      </c>
      <c r="Z65" s="22">
        <v>0</v>
      </c>
      <c r="AA65" s="22">
        <f t="shared" si="6"/>
        <v>35</v>
      </c>
      <c r="AB65" s="29">
        <f t="shared" si="4"/>
        <v>14.111111111111111</v>
      </c>
      <c r="AC65" s="30">
        <v>4.8329411764705883</v>
      </c>
      <c r="AD65" s="22">
        <v>48.1</v>
      </c>
      <c r="AE65" s="34">
        <v>48.1</v>
      </c>
      <c r="AF65" s="25">
        <v>20</v>
      </c>
      <c r="AG65" s="23">
        <v>5</v>
      </c>
      <c r="AH65" s="23">
        <f>AF65+AG65</f>
        <v>25</v>
      </c>
      <c r="AI65" s="26"/>
    </row>
    <row r="66" spans="1:35" ht="21.95" customHeight="1" x14ac:dyDescent="0.3">
      <c r="A66" s="19">
        <v>64</v>
      </c>
      <c r="B66" s="64">
        <v>2003</v>
      </c>
      <c r="C66" s="27" t="s">
        <v>30</v>
      </c>
      <c r="D66" s="27" t="s">
        <v>115</v>
      </c>
      <c r="E66" s="27" t="s">
        <v>48</v>
      </c>
      <c r="F66" s="64">
        <v>2003</v>
      </c>
      <c r="G66" s="27" t="s">
        <v>110</v>
      </c>
      <c r="H66" s="27" t="s">
        <v>115</v>
      </c>
      <c r="I66" s="27" t="s">
        <v>114</v>
      </c>
      <c r="J66" s="22" t="s">
        <v>116</v>
      </c>
      <c r="K66" s="22">
        <v>30</v>
      </c>
      <c r="L66" s="24">
        <f>32+40+45+37+27+26</f>
        <v>207</v>
      </c>
      <c r="M66" s="26">
        <v>12</v>
      </c>
      <c r="N66" s="22">
        <v>4</v>
      </c>
      <c r="O66" s="24">
        <f t="shared" ref="O66:O71" si="8">SUM(M66:N66)</f>
        <v>16</v>
      </c>
      <c r="P66" s="28">
        <v>8</v>
      </c>
      <c r="Q66" s="28">
        <v>1</v>
      </c>
      <c r="R66" s="28">
        <v>0</v>
      </c>
      <c r="S66" s="28">
        <v>0</v>
      </c>
      <c r="T66" s="28">
        <v>0</v>
      </c>
      <c r="U66" s="28">
        <v>0</v>
      </c>
      <c r="V66" s="28">
        <v>7</v>
      </c>
      <c r="W66" s="28"/>
      <c r="X66" s="26">
        <v>10</v>
      </c>
      <c r="Y66" s="22">
        <v>16</v>
      </c>
      <c r="Z66" s="22">
        <v>0</v>
      </c>
      <c r="AA66" s="22">
        <f t="shared" ref="AA66:AA71" si="9">SUM(X66:Z66)</f>
        <v>26</v>
      </c>
      <c r="AB66" s="29">
        <f t="shared" si="4"/>
        <v>20.7</v>
      </c>
      <c r="AC66" s="30">
        <v>2.3173749999999997</v>
      </c>
      <c r="AD66" s="22">
        <v>63</v>
      </c>
      <c r="AE66" s="34">
        <v>50.9</v>
      </c>
      <c r="AF66" s="25">
        <v>3</v>
      </c>
      <c r="AG66" s="23">
        <v>3</v>
      </c>
      <c r="AH66" s="23">
        <f t="shared" ref="AH66:AH70" si="10">AF66+AG66</f>
        <v>6</v>
      </c>
      <c r="AI66" s="26"/>
    </row>
    <row r="67" spans="1:35" ht="21.95" customHeight="1" x14ac:dyDescent="0.3">
      <c r="A67" s="19">
        <v>65</v>
      </c>
      <c r="B67" s="64"/>
      <c r="C67" s="27" t="s">
        <v>30</v>
      </c>
      <c r="D67" s="27" t="s">
        <v>45</v>
      </c>
      <c r="E67" s="27" t="s">
        <v>45</v>
      </c>
      <c r="F67" s="64"/>
      <c r="G67" s="27" t="s">
        <v>30</v>
      </c>
      <c r="H67" s="27" t="s">
        <v>45</v>
      </c>
      <c r="I67" s="27" t="s">
        <v>45</v>
      </c>
      <c r="J67" s="22" t="s">
        <v>45</v>
      </c>
      <c r="K67" s="22">
        <v>48</v>
      </c>
      <c r="L67" s="24">
        <v>13</v>
      </c>
      <c r="M67" s="26">
        <v>3</v>
      </c>
      <c r="N67" s="22">
        <v>3</v>
      </c>
      <c r="O67" s="24">
        <f t="shared" si="8"/>
        <v>6</v>
      </c>
      <c r="P67" s="28">
        <v>3</v>
      </c>
      <c r="Q67" s="28">
        <v>1</v>
      </c>
      <c r="R67" s="28">
        <v>0</v>
      </c>
      <c r="S67" s="28">
        <v>0</v>
      </c>
      <c r="T67" s="28">
        <v>0</v>
      </c>
      <c r="U67" s="28">
        <v>0</v>
      </c>
      <c r="V67" s="28">
        <v>2</v>
      </c>
      <c r="W67" s="28"/>
      <c r="X67" s="26">
        <v>10</v>
      </c>
      <c r="Y67" s="22">
        <v>17</v>
      </c>
      <c r="Z67" s="22">
        <v>0</v>
      </c>
      <c r="AA67" s="22">
        <f t="shared" si="9"/>
        <v>27</v>
      </c>
      <c r="AB67" s="29">
        <f t="shared" si="4"/>
        <v>1.3</v>
      </c>
      <c r="AC67" s="30">
        <v>10.853</v>
      </c>
      <c r="AD67" s="22">
        <v>22</v>
      </c>
      <c r="AE67" s="34">
        <v>60</v>
      </c>
      <c r="AF67" s="25">
        <v>10</v>
      </c>
      <c r="AG67" s="23">
        <v>5</v>
      </c>
      <c r="AH67" s="23">
        <f t="shared" si="10"/>
        <v>15</v>
      </c>
      <c r="AI67" s="26"/>
    </row>
    <row r="68" spans="1:35" ht="21.95" customHeight="1" x14ac:dyDescent="0.3">
      <c r="A68" s="19">
        <v>66</v>
      </c>
      <c r="B68" s="64">
        <v>2002</v>
      </c>
      <c r="C68" s="27" t="s">
        <v>30</v>
      </c>
      <c r="D68" s="27" t="s">
        <v>31</v>
      </c>
      <c r="E68" s="27" t="s">
        <v>33</v>
      </c>
      <c r="F68" s="64">
        <v>2002</v>
      </c>
      <c r="G68" s="27" t="s">
        <v>30</v>
      </c>
      <c r="H68" s="27" t="s">
        <v>31</v>
      </c>
      <c r="I68" s="27" t="s">
        <v>33</v>
      </c>
      <c r="J68" s="22" t="s">
        <v>26</v>
      </c>
      <c r="K68" s="22">
        <v>31</v>
      </c>
      <c r="L68" s="24">
        <f>79+77+32+38+34</f>
        <v>260</v>
      </c>
      <c r="M68" s="26">
        <v>15</v>
      </c>
      <c r="N68" s="22">
        <v>15</v>
      </c>
      <c r="O68" s="24">
        <f t="shared" si="8"/>
        <v>30</v>
      </c>
      <c r="P68" s="28">
        <v>17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/>
      <c r="X68" s="26">
        <v>10</v>
      </c>
      <c r="Y68" s="22">
        <v>26</v>
      </c>
      <c r="Z68" s="22">
        <v>0</v>
      </c>
      <c r="AA68" s="22">
        <f t="shared" si="9"/>
        <v>36</v>
      </c>
      <c r="AB68" s="29">
        <f t="shared" si="4"/>
        <v>26</v>
      </c>
      <c r="AC68" s="30">
        <v>3.9400428265524625</v>
      </c>
      <c r="AD68" s="22">
        <v>54</v>
      </c>
      <c r="AE68" s="34">
        <v>38.1</v>
      </c>
      <c r="AF68" s="25">
        <v>1</v>
      </c>
      <c r="AG68" s="23">
        <v>0</v>
      </c>
      <c r="AH68" s="23">
        <f t="shared" si="10"/>
        <v>1</v>
      </c>
      <c r="AI68" s="26"/>
    </row>
    <row r="69" spans="1:35" ht="21.95" customHeight="1" x14ac:dyDescent="0.3">
      <c r="A69" s="19">
        <v>67</v>
      </c>
      <c r="B69" s="33">
        <v>2003</v>
      </c>
      <c r="C69" s="33" t="s">
        <v>30</v>
      </c>
      <c r="D69" s="27" t="s">
        <v>31</v>
      </c>
      <c r="E69" s="33" t="s">
        <v>126</v>
      </c>
      <c r="F69" s="64"/>
      <c r="G69" s="27" t="s">
        <v>30</v>
      </c>
      <c r="H69" s="27"/>
      <c r="I69" s="27"/>
      <c r="J69" s="22"/>
      <c r="K69" s="22">
        <v>30</v>
      </c>
      <c r="L69" s="24">
        <f>50+22+29+30+28</f>
        <v>159</v>
      </c>
      <c r="M69" s="26">
        <v>16</v>
      </c>
      <c r="N69" s="22">
        <v>6</v>
      </c>
      <c r="O69" s="24">
        <f t="shared" si="8"/>
        <v>22</v>
      </c>
      <c r="P69" s="28">
        <v>17</v>
      </c>
      <c r="Q69" s="28">
        <v>1</v>
      </c>
      <c r="R69" s="28">
        <v>0</v>
      </c>
      <c r="S69" s="28">
        <v>0</v>
      </c>
      <c r="T69" s="28">
        <v>0</v>
      </c>
      <c r="U69" s="28">
        <v>1</v>
      </c>
      <c r="V69" s="28">
        <v>3</v>
      </c>
      <c r="W69" s="28"/>
      <c r="X69" s="26">
        <v>8</v>
      </c>
      <c r="Y69" s="22">
        <v>11</v>
      </c>
      <c r="Z69" s="22">
        <v>0</v>
      </c>
      <c r="AA69" s="22">
        <f t="shared" si="9"/>
        <v>19</v>
      </c>
      <c r="AB69" s="29">
        <f t="shared" si="4"/>
        <v>19.875</v>
      </c>
      <c r="AC69" s="30">
        <f>1685/347</f>
        <v>4.8559077809798268</v>
      </c>
      <c r="AD69" s="22">
        <v>54</v>
      </c>
      <c r="AE69" s="34">
        <v>53.3</v>
      </c>
      <c r="AF69" s="25">
        <v>13</v>
      </c>
      <c r="AG69" s="23">
        <v>1</v>
      </c>
      <c r="AH69" s="23">
        <f t="shared" si="10"/>
        <v>14</v>
      </c>
      <c r="AI69" s="26"/>
    </row>
    <row r="70" spans="1:35" ht="21.95" customHeight="1" x14ac:dyDescent="0.3">
      <c r="A70" s="19">
        <v>68</v>
      </c>
      <c r="B70" s="33">
        <v>2011</v>
      </c>
      <c r="C70" s="33" t="s">
        <v>30</v>
      </c>
      <c r="D70" s="27" t="s">
        <v>31</v>
      </c>
      <c r="E70" s="33" t="s">
        <v>128</v>
      </c>
      <c r="F70" s="64"/>
      <c r="G70" s="27"/>
      <c r="H70" s="27"/>
      <c r="I70" s="27"/>
      <c r="J70" s="22"/>
      <c r="K70" s="22">
        <v>35</v>
      </c>
      <c r="L70" s="24">
        <f>37+37+36+36+38</f>
        <v>184</v>
      </c>
      <c r="M70" s="26">
        <v>16</v>
      </c>
      <c r="N70" s="22">
        <v>17</v>
      </c>
      <c r="O70" s="24">
        <f t="shared" si="8"/>
        <v>33</v>
      </c>
      <c r="P70" s="28">
        <v>15</v>
      </c>
      <c r="Q70" s="28">
        <v>3</v>
      </c>
      <c r="R70" s="28">
        <v>0</v>
      </c>
      <c r="S70" s="28">
        <v>0</v>
      </c>
      <c r="T70" s="28">
        <v>0</v>
      </c>
      <c r="U70" s="28">
        <v>0</v>
      </c>
      <c r="V70" s="28">
        <v>15</v>
      </c>
      <c r="W70" s="28"/>
      <c r="X70" s="26">
        <v>5</v>
      </c>
      <c r="Y70" s="22">
        <v>11</v>
      </c>
      <c r="Z70" s="22">
        <v>0</v>
      </c>
      <c r="AA70" s="22">
        <f t="shared" si="9"/>
        <v>16</v>
      </c>
      <c r="AB70" s="29">
        <f t="shared" si="4"/>
        <v>36.799999999999997</v>
      </c>
      <c r="AC70" s="30">
        <v>4</v>
      </c>
      <c r="AD70" s="22">
        <v>57</v>
      </c>
      <c r="AE70" s="34">
        <v>42.7</v>
      </c>
      <c r="AF70" s="25">
        <v>8</v>
      </c>
      <c r="AG70" s="23">
        <v>1</v>
      </c>
      <c r="AH70" s="23">
        <f t="shared" si="10"/>
        <v>9</v>
      </c>
      <c r="AI70" s="26"/>
    </row>
    <row r="71" spans="1:35" ht="21.95" customHeight="1" thickBot="1" x14ac:dyDescent="0.35">
      <c r="A71" s="68">
        <v>69</v>
      </c>
      <c r="B71" s="52">
        <v>2002</v>
      </c>
      <c r="C71" s="52" t="s">
        <v>34</v>
      </c>
      <c r="D71" s="52" t="s">
        <v>31</v>
      </c>
      <c r="E71" s="52" t="s">
        <v>129</v>
      </c>
      <c r="F71" s="53"/>
      <c r="G71" s="54"/>
      <c r="H71" s="54"/>
      <c r="I71" s="54"/>
      <c r="J71" s="52"/>
      <c r="K71" s="52">
        <v>26</v>
      </c>
      <c r="L71" s="56">
        <f>25+13+18+21+22</f>
        <v>99</v>
      </c>
      <c r="M71" s="55">
        <v>7</v>
      </c>
      <c r="N71" s="52">
        <v>4</v>
      </c>
      <c r="O71" s="56">
        <f t="shared" si="8"/>
        <v>11</v>
      </c>
      <c r="P71" s="57">
        <v>8</v>
      </c>
      <c r="Q71" s="57">
        <v>1</v>
      </c>
      <c r="R71" s="57">
        <v>0</v>
      </c>
      <c r="S71" s="57">
        <v>0</v>
      </c>
      <c r="T71" s="57">
        <v>1</v>
      </c>
      <c r="U71" s="57">
        <v>0</v>
      </c>
      <c r="V71" s="57">
        <v>1</v>
      </c>
      <c r="W71" s="57"/>
      <c r="X71" s="55">
        <v>6</v>
      </c>
      <c r="Y71" s="52">
        <v>10</v>
      </c>
      <c r="Z71" s="52">
        <v>0</v>
      </c>
      <c r="AA71" s="52">
        <f t="shared" si="9"/>
        <v>16</v>
      </c>
      <c r="AB71" s="58">
        <f t="shared" si="4"/>
        <v>16.5</v>
      </c>
      <c r="AC71" s="59">
        <v>5.9</v>
      </c>
      <c r="AD71" s="52">
        <v>50</v>
      </c>
      <c r="AE71" s="60">
        <v>105.8</v>
      </c>
      <c r="AF71" s="61">
        <v>9</v>
      </c>
      <c r="AG71" s="62">
        <v>5</v>
      </c>
      <c r="AH71" s="62">
        <f>AF71+AG71</f>
        <v>14</v>
      </c>
      <c r="AI71" s="55"/>
    </row>
  </sheetData>
  <autoFilter ref="A1:AI71" xr:uid="{00000000-0009-0000-0000-000000000000}">
    <filterColumn colId="12" showButton="0"/>
    <filterColumn colId="13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3" showButton="0"/>
    <filterColumn colId="24" showButton="0"/>
    <filterColumn colId="25" showButton="0"/>
    <filterColumn colId="31" showButton="0"/>
    <filterColumn colId="32" showButton="0"/>
  </autoFilter>
  <mergeCells count="20">
    <mergeCell ref="B1:B2"/>
    <mergeCell ref="C1:C2"/>
    <mergeCell ref="D1:D2"/>
    <mergeCell ref="E1:E2"/>
    <mergeCell ref="J1:J2"/>
    <mergeCell ref="F1:F2"/>
    <mergeCell ref="G1:G2"/>
    <mergeCell ref="H1:H2"/>
    <mergeCell ref="I1:I2"/>
    <mergeCell ref="AI1:AI2"/>
    <mergeCell ref="AC1:AC2"/>
    <mergeCell ref="AD1:AD2"/>
    <mergeCell ref="AE1:AE2"/>
    <mergeCell ref="K1:K2"/>
    <mergeCell ref="L1:L2"/>
    <mergeCell ref="M1:O1"/>
    <mergeCell ref="P1:W1"/>
    <mergeCell ref="X1:AA1"/>
    <mergeCell ref="AB1:AB2"/>
    <mergeCell ref="AF1:AH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2"/>
  <sheetViews>
    <sheetView workbookViewId="0">
      <selection activeCell="I13" sqref="I13"/>
    </sheetView>
  </sheetViews>
  <sheetFormatPr defaultRowHeight="16.5" x14ac:dyDescent="0.3"/>
  <sheetData>
    <row r="1" spans="1:10" x14ac:dyDescent="0.3">
      <c r="A1">
        <f>54.81*3</f>
        <v>164.43</v>
      </c>
      <c r="B1">
        <f>38+41+33+37+28+28+33+33+29+29+33+34</f>
        <v>396</v>
      </c>
      <c r="C1">
        <v>45.8</v>
      </c>
      <c r="D1">
        <v>220</v>
      </c>
      <c r="E1">
        <v>81</v>
      </c>
      <c r="F1">
        <v>97</v>
      </c>
      <c r="G1">
        <v>37</v>
      </c>
      <c r="I1">
        <v>108</v>
      </c>
      <c r="J1">
        <v>69</v>
      </c>
    </row>
    <row r="2" spans="1:10" x14ac:dyDescent="0.3">
      <c r="A2">
        <f>54.81*3</f>
        <v>164.43</v>
      </c>
      <c r="B2">
        <f>A11/B1</f>
        <v>3.9646464646464645</v>
      </c>
      <c r="C2">
        <v>52.2</v>
      </c>
      <c r="D2">
        <v>220</v>
      </c>
      <c r="E2">
        <v>81</v>
      </c>
      <c r="F2">
        <v>192</v>
      </c>
      <c r="G2">
        <v>49</v>
      </c>
      <c r="I2">
        <v>108</v>
      </c>
      <c r="J2">
        <v>72</v>
      </c>
    </row>
    <row r="3" spans="1:10" x14ac:dyDescent="0.3">
      <c r="A3">
        <f>48.7*3</f>
        <v>146.10000000000002</v>
      </c>
      <c r="C3">
        <v>77</v>
      </c>
      <c r="D3">
        <v>220</v>
      </c>
      <c r="E3">
        <v>57</v>
      </c>
      <c r="F3">
        <v>192</v>
      </c>
      <c r="G3">
        <v>53</v>
      </c>
      <c r="I3">
        <v>108</v>
      </c>
      <c r="J3">
        <v>130</v>
      </c>
    </row>
    <row r="4" spans="1:10" x14ac:dyDescent="0.3">
      <c r="A4">
        <f>48.7*3</f>
        <v>146.10000000000002</v>
      </c>
      <c r="C4">
        <v>77</v>
      </c>
      <c r="D4">
        <v>220</v>
      </c>
      <c r="E4">
        <v>61</v>
      </c>
      <c r="F4">
        <v>128</v>
      </c>
      <c r="G4">
        <v>54</v>
      </c>
      <c r="I4">
        <v>108</v>
      </c>
      <c r="J4">
        <v>187</v>
      </c>
    </row>
    <row r="5" spans="1:10" x14ac:dyDescent="0.3">
      <c r="A5">
        <f>48.7*3</f>
        <v>146.10000000000002</v>
      </c>
      <c r="C5">
        <v>65</v>
      </c>
      <c r="D5">
        <v>220</v>
      </c>
      <c r="E5">
        <v>59</v>
      </c>
      <c r="F5">
        <v>128</v>
      </c>
      <c r="G5">
        <v>56</v>
      </c>
      <c r="I5">
        <v>108</v>
      </c>
      <c r="J5">
        <v>90</v>
      </c>
    </row>
    <row r="6" spans="1:10" x14ac:dyDescent="0.3">
      <c r="A6">
        <f>48.7*3</f>
        <v>146.10000000000002</v>
      </c>
      <c r="C6">
        <v>65</v>
      </c>
      <c r="D6">
        <v>220</v>
      </c>
      <c r="E6">
        <v>61</v>
      </c>
      <c r="F6">
        <v>128</v>
      </c>
      <c r="G6">
        <v>44</v>
      </c>
      <c r="I6">
        <v>108</v>
      </c>
      <c r="J6">
        <v>90</v>
      </c>
    </row>
    <row r="7" spans="1:10" x14ac:dyDescent="0.3">
      <c r="A7">
        <f>54.8*3</f>
        <v>164.39999999999998</v>
      </c>
      <c r="C7">
        <v>74</v>
      </c>
      <c r="D7">
        <v>176</v>
      </c>
      <c r="E7">
        <v>61</v>
      </c>
      <c r="F7">
        <v>128</v>
      </c>
      <c r="G7">
        <v>47</v>
      </c>
      <c r="I7">
        <v>108</v>
      </c>
      <c r="J7">
        <v>57</v>
      </c>
    </row>
    <row r="8" spans="1:10" x14ac:dyDescent="0.3">
      <c r="A8">
        <f>54.8*3</f>
        <v>164.39999999999998</v>
      </c>
      <c r="C8">
        <v>74</v>
      </c>
      <c r="D8">
        <v>176</v>
      </c>
      <c r="E8">
        <v>58</v>
      </c>
      <c r="F8">
        <v>128</v>
      </c>
      <c r="G8">
        <v>44</v>
      </c>
      <c r="I8">
        <v>108</v>
      </c>
      <c r="J8">
        <v>78</v>
      </c>
    </row>
    <row r="9" spans="1:10" x14ac:dyDescent="0.3">
      <c r="A9">
        <f>54.8*3</f>
        <v>164.39999999999998</v>
      </c>
      <c r="C9">
        <v>65</v>
      </c>
      <c r="D9">
        <v>176</v>
      </c>
      <c r="E9">
        <v>61</v>
      </c>
      <c r="F9">
        <v>128</v>
      </c>
      <c r="G9">
        <v>43</v>
      </c>
      <c r="H9">
        <v>42.7</v>
      </c>
      <c r="I9">
        <v>125</v>
      </c>
      <c r="J9">
        <v>171</v>
      </c>
    </row>
    <row r="10" spans="1:10" x14ac:dyDescent="0.3">
      <c r="A10">
        <f>54.8*3</f>
        <v>164.39999999999998</v>
      </c>
      <c r="C10">
        <v>63</v>
      </c>
      <c r="D10">
        <v>176</v>
      </c>
      <c r="E10">
        <v>63</v>
      </c>
      <c r="F10">
        <f>SUM(F1:F9)</f>
        <v>1249</v>
      </c>
      <c r="I10">
        <v>125</v>
      </c>
      <c r="J10">
        <v>109</v>
      </c>
    </row>
    <row r="11" spans="1:10" x14ac:dyDescent="0.3">
      <c r="A11">
        <v>1570</v>
      </c>
      <c r="D11">
        <v>2024</v>
      </c>
      <c r="E11">
        <v>643</v>
      </c>
      <c r="F11">
        <f>38+44+41+27+26+33+31+33+34</f>
        <v>307</v>
      </c>
      <c r="H11">
        <v>1114</v>
      </c>
      <c r="I11">
        <f>26+25+14+13+20+20+21+23+14+11</f>
        <v>187</v>
      </c>
      <c r="J11">
        <v>105.8</v>
      </c>
    </row>
    <row r="12" spans="1:10" x14ac:dyDescent="0.3">
      <c r="E12">
        <f>D11/E11</f>
        <v>3.1477449455676516</v>
      </c>
      <c r="F12">
        <f>F10/F11</f>
        <v>4.0684039087947879</v>
      </c>
      <c r="I12">
        <f>H11/I11</f>
        <v>5.9572192513368982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인적자원, 정보자원, 스튜디오 현황 (2022.02)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건인원</dc:creator>
  <cp:lastModifiedBy>SEOL PARK</cp:lastModifiedBy>
  <dcterms:created xsi:type="dcterms:W3CDTF">2012-04-23T05:09:05Z</dcterms:created>
  <dcterms:modified xsi:type="dcterms:W3CDTF">2024-03-18T03:28:14Z</dcterms:modified>
</cp:coreProperties>
</file>